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activeTab="0"/>
  </bookViews>
  <sheets>
    <sheet name="Люб. тяга б.э." sheetId="1" r:id="rId1"/>
    <sheet name="ПРО тяга б.э." sheetId="2" r:id="rId2"/>
    <sheet name="Люб. жим б.э." sheetId="3" r:id="rId3"/>
    <sheet name="ПРО жим б.э." sheetId="4" r:id="rId4"/>
    <sheet name="РЖ любители 100 кг." sheetId="5" r:id="rId5"/>
    <sheet name="РЖ любители 75 кг." sheetId="6" r:id="rId6"/>
    <sheet name="РЖ любители 55 кг." sheetId="7" r:id="rId7"/>
    <sheet name="РЖ любители 35 кг." sheetId="8" r:id="rId8"/>
    <sheet name="РЖ Проф 100 кг." sheetId="9" r:id="rId9"/>
    <sheet name="РЖ Проф 75 кг." sheetId="10" r:id="rId10"/>
    <sheet name="Про. народный жим 1 вес" sheetId="11" r:id="rId11"/>
    <sheet name="Люб. народный жим 1 вес" sheetId="12" r:id="rId12"/>
    <sheet name="Люб. Военный жим" sheetId="13" r:id="rId13"/>
    <sheet name="Бицепс Профессионалы" sheetId="14" r:id="rId14"/>
    <sheet name="Бицепс Любители" sheetId="15" r:id="rId15"/>
  </sheets>
  <definedNames/>
  <calcPr fullCalcOnLoad="1" refMode="R1C1"/>
</workbook>
</file>

<file path=xl/sharedStrings.xml><?xml version="1.0" encoding="utf-8"?>
<sst xmlns="http://schemas.openxmlformats.org/spreadsheetml/2006/main" count="1939" uniqueCount="632">
  <si>
    <t>ФИО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</si>
  <si>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</si>
  <si>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</si>
  <si>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</si>
  <si>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</si>
  <si>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</si>
  <si>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</si>
  <si>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</si>
  <si>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Чемпионат Омской области по силовым видам спорта (подъем на бицебс)
Одиночный подъём штанги на бицепс Любители
Омск/Омская область апреля 2019 г.</t>
  </si>
  <si>
    <t>Shv/Mel</t>
  </si>
  <si>
    <t>Подъем на бицепс</t>
  </si>
  <si>
    <t>ВЕСОВАЯ КАТЕГОРИЯ   60</t>
  </si>
  <si>
    <t>1. Иванова Елена</t>
  </si>
  <si>
    <t>Девушки 14-15 (14.12.2005)/13</t>
  </si>
  <si>
    <t>46,00</t>
  </si>
  <si>
    <t xml:space="preserve">лично </t>
  </si>
  <si>
    <t xml:space="preserve">с. Яркуль/НСО усть-Тарский район </t>
  </si>
  <si>
    <t>20,0</t>
  </si>
  <si>
    <t xml:space="preserve"> </t>
  </si>
  <si>
    <t>ВЕСОВАЯ КАТЕГОРИЯ   56</t>
  </si>
  <si>
    <t>1. Ппоян Альберт</t>
  </si>
  <si>
    <t>Открытая (05.09.1994)/24</t>
  </si>
  <si>
    <t>55,95</t>
  </si>
  <si>
    <t xml:space="preserve">Омск/Омская область </t>
  </si>
  <si>
    <t>40,0</t>
  </si>
  <si>
    <t>45,0</t>
  </si>
  <si>
    <t>47,5</t>
  </si>
  <si>
    <t>ВЕСОВАЯ КАТЕГОРИЯ   75</t>
  </si>
  <si>
    <t>1. Цыруль Лев</t>
  </si>
  <si>
    <t>Юноши 18 - 19 (26.11.1999)/19</t>
  </si>
  <si>
    <t>73,75</t>
  </si>
  <si>
    <t>55,0</t>
  </si>
  <si>
    <t>60,0</t>
  </si>
  <si>
    <t>65,0</t>
  </si>
  <si>
    <t>Юниоры 20 - 23 (01.03.1997)/22</t>
  </si>
  <si>
    <t>72,95</t>
  </si>
  <si>
    <t>62,5</t>
  </si>
  <si>
    <t>1. Фролов Евгений</t>
  </si>
  <si>
    <t>Открытая (11.05.1983)/35</t>
  </si>
  <si>
    <t>71,95</t>
  </si>
  <si>
    <t>1. Усачев Виктор</t>
  </si>
  <si>
    <t>Мастера 60 - 64 (07.11.1956)/62</t>
  </si>
  <si>
    <t>74,50</t>
  </si>
  <si>
    <t>50,0</t>
  </si>
  <si>
    <t>52,5</t>
  </si>
  <si>
    <t>ВЕСОВАЯ КАТЕГОРИЯ   82.5</t>
  </si>
  <si>
    <t>Юноши 18 - 19 (05.08.1999)/19</t>
  </si>
  <si>
    <t>82,00</t>
  </si>
  <si>
    <t>1. Гехт Эдуард</t>
  </si>
  <si>
    <t>Юниоры 20 - 23 (15.06.1998)/20</t>
  </si>
  <si>
    <t>77,70</t>
  </si>
  <si>
    <t>70,0</t>
  </si>
  <si>
    <t>Открытая (06.07.1987)/31</t>
  </si>
  <si>
    <t>82,20</t>
  </si>
  <si>
    <t xml:space="preserve">Октябрьский/Челябинская область </t>
  </si>
  <si>
    <t>57,5</t>
  </si>
  <si>
    <t>Открытая (12.11.1986)/32</t>
  </si>
  <si>
    <t>80,70</t>
  </si>
  <si>
    <t>ВЕСОВАЯ КАТЕГОРИЯ   90</t>
  </si>
  <si>
    <t>87,25</t>
  </si>
  <si>
    <t>1. Карбушев Игорь</t>
  </si>
  <si>
    <t>Юниоры 20 - 23 (27.08.1997)/21</t>
  </si>
  <si>
    <t>86,00</t>
  </si>
  <si>
    <t>67,5</t>
  </si>
  <si>
    <t>Открытая (14.11.1994)/24</t>
  </si>
  <si>
    <t>88,50</t>
  </si>
  <si>
    <t>Открытая (27.08.1992)/26</t>
  </si>
  <si>
    <t>89,80</t>
  </si>
  <si>
    <t>Открытая (21.12.1985)/33</t>
  </si>
  <si>
    <t>85,20</t>
  </si>
  <si>
    <t>ВЕСОВАЯ КАТЕГОРИЯ   100</t>
  </si>
  <si>
    <t>1. Григорян Владимир</t>
  </si>
  <si>
    <t>Открытая (25.05.1991)/27</t>
  </si>
  <si>
    <t>93,00</t>
  </si>
  <si>
    <t>75,0</t>
  </si>
  <si>
    <t>2. Краснопольский Максим</t>
  </si>
  <si>
    <t>Открытая (04.02.1992)/27</t>
  </si>
  <si>
    <t>97,70</t>
  </si>
  <si>
    <t>80,0</t>
  </si>
  <si>
    <t>Открытая (01.11.1996)/22</t>
  </si>
  <si>
    <t>99,55</t>
  </si>
  <si>
    <t>77,5</t>
  </si>
  <si>
    <t>-. Баранов Алексей</t>
  </si>
  <si>
    <t>Открытая (30.05.1994)/24</t>
  </si>
  <si>
    <t>97,05</t>
  </si>
  <si>
    <t>ВЕСОВАЯ КАТЕГОРИЯ   110</t>
  </si>
  <si>
    <t>1. Петров Данил</t>
  </si>
  <si>
    <t>Открытая (19.12.1980)/38</t>
  </si>
  <si>
    <t>109,70</t>
  </si>
  <si>
    <t>72,5</t>
  </si>
  <si>
    <t>Главный судья:</t>
  </si>
  <si>
    <t>Главный секретарь:</t>
  </si>
  <si>
    <t>Старший судья:</t>
  </si>
  <si>
    <t>Боковой судья:</t>
  </si>
  <si>
    <t xml:space="preserve">Абсолютный зачёт </t>
  </si>
  <si>
    <t xml:space="preserve">Женщины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</si>
  <si>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</si>
  <si>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</si>
  <si>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</si>
  <si>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</si>
  <si>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</si>
  <si>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60</t>
  </si>
  <si>
    <t xml:space="preserve">Мужчины </t>
  </si>
  <si>
    <t>75</t>
  </si>
  <si>
    <t>90</t>
  </si>
  <si>
    <t>82.5</t>
  </si>
  <si>
    <t xml:space="preserve">Юниоры </t>
  </si>
  <si>
    <t>46,6271</t>
  </si>
  <si>
    <t xml:space="preserve">Открытая </t>
  </si>
  <si>
    <t>100</t>
  </si>
  <si>
    <t>56</t>
  </si>
  <si>
    <t>110</t>
  </si>
  <si>
    <t xml:space="preserve">Мастера </t>
  </si>
  <si>
    <t xml:space="preserve">Мастера 60 - 64 </t>
  </si>
  <si>
    <t>Результат</t>
  </si>
  <si>
    <t>Чемпионат Омской области по силовым видам спорта (подъем на бицебс)
Одиночный подъём штанги на бицепс Профессионалы
Омск/Омская область апреля 2019 г.</t>
  </si>
  <si>
    <t>1. Носарев Георгий</t>
  </si>
  <si>
    <t>Открытая (09.05.1983)/35</t>
  </si>
  <si>
    <t>107,00</t>
  </si>
  <si>
    <t>82,5</t>
  </si>
  <si>
    <t>ВЕСОВАЯ КАТЕГОРИЯ   125</t>
  </si>
  <si>
    <t>1. Литасов Роман</t>
  </si>
  <si>
    <t>Открытая (31.05.1988)/30</t>
  </si>
  <si>
    <t>121,60</t>
  </si>
  <si>
    <t>87,5</t>
  </si>
  <si>
    <t>Чемпионат Омской области по силовым видам спорта (жим/становая тяга/военный жим)
Любители военный жим
Омск/Омская область апреля 2019 г.</t>
  </si>
  <si>
    <t>Жим лёжа</t>
  </si>
  <si>
    <t>1. Егоров Федор</t>
  </si>
  <si>
    <t>Открытая (27.02.1977)/42</t>
  </si>
  <si>
    <t>77,40</t>
  </si>
  <si>
    <t>145,0</t>
  </si>
  <si>
    <t>150,0</t>
  </si>
  <si>
    <t>152,5</t>
  </si>
  <si>
    <t>1. Ёлкин Дмитрий</t>
  </si>
  <si>
    <t>Открытая (23.03.1969)/50</t>
  </si>
  <si>
    <t>88,90</t>
  </si>
  <si>
    <t>130,0</t>
  </si>
  <si>
    <t>142,5</t>
  </si>
  <si>
    <t>147,5</t>
  </si>
  <si>
    <t>2. Королев Дмитрий</t>
  </si>
  <si>
    <t>Открытая (16.07.1983)/35</t>
  </si>
  <si>
    <t>89,75</t>
  </si>
  <si>
    <t>135,0</t>
  </si>
  <si>
    <t>1. Лысенко Игорь</t>
  </si>
  <si>
    <t>Открытая (20.09.1970)/48</t>
  </si>
  <si>
    <t>92,25</t>
  </si>
  <si>
    <t xml:space="preserve">Шербакуль/Омская область </t>
  </si>
  <si>
    <t>157,5</t>
  </si>
  <si>
    <t>162,5</t>
  </si>
  <si>
    <t>2. Сатышев Илдар</t>
  </si>
  <si>
    <t>Открытая (20.09.1977)/41</t>
  </si>
  <si>
    <t>93,95</t>
  </si>
  <si>
    <t>132,5</t>
  </si>
  <si>
    <t>137,5</t>
  </si>
  <si>
    <t>3. Монин Дмитрий</t>
  </si>
  <si>
    <t>98,80</t>
  </si>
  <si>
    <t>Мастера 40 - 44 (20.09.1977)/41</t>
  </si>
  <si>
    <t>1. Быстров Сергей</t>
  </si>
  <si>
    <t>108,90</t>
  </si>
  <si>
    <t>125,0</t>
  </si>
  <si>
    <t>140,0</t>
  </si>
  <si>
    <t>Открытая (05.11.1995)/23</t>
  </si>
  <si>
    <t>Чемпионат Омской области по силовым видам спорта (жим/становая тяга/военный жим)
Любители жим лежа без экипировки
Омск/Омская область апреля 2019 г.</t>
  </si>
  <si>
    <t>ВЕСОВАЯ КАТЕГОРИЯ   48</t>
  </si>
  <si>
    <t>Девушки 0-13 (14.12.2005)/13</t>
  </si>
  <si>
    <t>1. Пушкарева Кристина</t>
  </si>
  <si>
    <t>Девушки 18 - 19 (23.01.2000)/19</t>
  </si>
  <si>
    <t>55,15</t>
  </si>
  <si>
    <t>1. Мезёва Анна</t>
  </si>
  <si>
    <t>Открытая (19.09.1983)/35</t>
  </si>
  <si>
    <t>58,20</t>
  </si>
  <si>
    <t>ВЕСОВАЯ КАТЕГОРИЯ   67.5</t>
  </si>
  <si>
    <t>1. Голубева Лидия</t>
  </si>
  <si>
    <t>Юниорки 20 - 23 (13.10.1995)/23</t>
  </si>
  <si>
    <t>66,25</t>
  </si>
  <si>
    <t>2. Клепакова Маргарита</t>
  </si>
  <si>
    <t>Юниорки 20 - 23 (04.12.1997)/21</t>
  </si>
  <si>
    <t>60,85</t>
  </si>
  <si>
    <t>30,0</t>
  </si>
  <si>
    <t>35,0</t>
  </si>
  <si>
    <t>1. Маркова Оксана</t>
  </si>
  <si>
    <t>63,90</t>
  </si>
  <si>
    <t>Мастера 40 - 44 (21.05.1975)/43</t>
  </si>
  <si>
    <t>1. Резина Анна</t>
  </si>
  <si>
    <t>Открытая (16.11.1985)/33</t>
  </si>
  <si>
    <t>74,55</t>
  </si>
  <si>
    <t>1. Кляузер Светлана</t>
  </si>
  <si>
    <t>89,55</t>
  </si>
  <si>
    <t>Мастера 45 - 49 (03.03.1972)/47</t>
  </si>
  <si>
    <t>ВЕСОВАЯ КАТЕГОРИЯ   52</t>
  </si>
  <si>
    <t>1. Хоруженко Вадим</t>
  </si>
  <si>
    <t>Юноши 14-15 (25.02.2005)/14</t>
  </si>
  <si>
    <t>52,00</t>
  </si>
  <si>
    <t>2. Васильев Виктор</t>
  </si>
  <si>
    <t>Юноши 14-15 (24.02.2005)/14</t>
  </si>
  <si>
    <t>40,50</t>
  </si>
  <si>
    <t>85,0</t>
  </si>
  <si>
    <t>92,5</t>
  </si>
  <si>
    <t>1. Громов Даниил</t>
  </si>
  <si>
    <t>Юноши 16 - 17 (17.04.2003)/16</t>
  </si>
  <si>
    <t>57,65</t>
  </si>
  <si>
    <t>2. Корб Юрий</t>
  </si>
  <si>
    <t>Юноши 16 - 17 (09.09.2002)/16</t>
  </si>
  <si>
    <t>57,10</t>
  </si>
  <si>
    <t>1. Науман Юрий</t>
  </si>
  <si>
    <t>Открытая (13.05.1986)/32</t>
  </si>
  <si>
    <t>58,95</t>
  </si>
  <si>
    <t>1. Уразаев Андрей</t>
  </si>
  <si>
    <t>Открытая (19.04.1984)/35</t>
  </si>
  <si>
    <t>66,85</t>
  </si>
  <si>
    <t>120,0</t>
  </si>
  <si>
    <t>127,5</t>
  </si>
  <si>
    <t>1. Щипанов Александр</t>
  </si>
  <si>
    <t>Юноши 16 - 17 (27.04.2002)/17</t>
  </si>
  <si>
    <t>74,75</t>
  </si>
  <si>
    <t>1. Жоров Иван</t>
  </si>
  <si>
    <t>Юниоры 20 - 23 (20.11.1996)/22</t>
  </si>
  <si>
    <t>74,45</t>
  </si>
  <si>
    <t>110,0</t>
  </si>
  <si>
    <t>2. Карпеев Георгий</t>
  </si>
  <si>
    <t>Юниоры 20 - 23 (21.04.1996)/23</t>
  </si>
  <si>
    <t>74,60</t>
  </si>
  <si>
    <t>115,0</t>
  </si>
  <si>
    <t>3. Юрченко Никита</t>
  </si>
  <si>
    <t>Юниоры 20 - 23 (01.05.1996)/22</t>
  </si>
  <si>
    <t>72,75</t>
  </si>
  <si>
    <t>95,0</t>
  </si>
  <si>
    <t>1. Колотилин Константин</t>
  </si>
  <si>
    <t>Открытая (13.06.1994)/24</t>
  </si>
  <si>
    <t>73,85</t>
  </si>
  <si>
    <t>100,0</t>
  </si>
  <si>
    <t>2. Степанников Михаил</t>
  </si>
  <si>
    <t>Открытая (17.02.1983)/36</t>
  </si>
  <si>
    <t>72,55</t>
  </si>
  <si>
    <t>105,0</t>
  </si>
  <si>
    <t>-. Гармашов Сергей</t>
  </si>
  <si>
    <t>Открытая (14.09.1985)/33</t>
  </si>
  <si>
    <t>73,45</t>
  </si>
  <si>
    <t>75,00</t>
  </si>
  <si>
    <t>1. Мамедов Руслан</t>
  </si>
  <si>
    <t>Юноши 18 - 19 (02.03.2001)/18</t>
  </si>
  <si>
    <t>77,80</t>
  </si>
  <si>
    <t xml:space="preserve">Усть-Тарка с./Омская область </t>
  </si>
  <si>
    <t>1. Сафронов Александр</t>
  </si>
  <si>
    <t>Открытая (01.09.1990)/28</t>
  </si>
  <si>
    <t>78,10</t>
  </si>
  <si>
    <t>2. Кокшенев Александр</t>
  </si>
  <si>
    <t>Открытая (02.08.1984)/34</t>
  </si>
  <si>
    <t>80,20</t>
  </si>
  <si>
    <t>3. Миронов Александр</t>
  </si>
  <si>
    <t>Открытая (16.01.1982)/37</t>
  </si>
  <si>
    <t>79,25</t>
  </si>
  <si>
    <t>122,5</t>
  </si>
  <si>
    <t>1. Глемба Вадим</t>
  </si>
  <si>
    <t>Мастера 40 - 44 (02.06.1977)/41</t>
  </si>
  <si>
    <t>79,35</t>
  </si>
  <si>
    <t>117,5</t>
  </si>
  <si>
    <t>1. Марков Иван</t>
  </si>
  <si>
    <t>Юноши 16 - 17 (26.03.2003)/16</t>
  </si>
  <si>
    <t>86,15</t>
  </si>
  <si>
    <t>1. Масёров Никита</t>
  </si>
  <si>
    <t>Юниоры 20 - 23 (07.09.1995)/23</t>
  </si>
  <si>
    <t>170,0</t>
  </si>
  <si>
    <t>172,5</t>
  </si>
  <si>
    <t>2. Ащербагин Азат</t>
  </si>
  <si>
    <t>Юниоры 20 - 23 (24.07.1995)/23</t>
  </si>
  <si>
    <t>86,40</t>
  </si>
  <si>
    <t>160,0</t>
  </si>
  <si>
    <t>1. Климович Александр</t>
  </si>
  <si>
    <t>Открытая (15.11.1992)/26</t>
  </si>
  <si>
    <t>84,50</t>
  </si>
  <si>
    <t>2. Карпеев Владимир</t>
  </si>
  <si>
    <t>Открытая (22.04.1972)/47</t>
  </si>
  <si>
    <t>87,60</t>
  </si>
  <si>
    <t>3. Исанбаев Вадим</t>
  </si>
  <si>
    <t>Открытая (26.05.1993)/25</t>
  </si>
  <si>
    <t>83,25</t>
  </si>
  <si>
    <t>107,5</t>
  </si>
  <si>
    <t>1. Карпеев Владимир</t>
  </si>
  <si>
    <t>Мастера 45 - 49 (22.04.1972)/47</t>
  </si>
  <si>
    <t>1. Капалин Николай</t>
  </si>
  <si>
    <t>Юниоры 20 - 23 (06.07.1995)/23</t>
  </si>
  <si>
    <t>95,80</t>
  </si>
  <si>
    <t>1. Турцын Анатолий</t>
  </si>
  <si>
    <t>Открытая (20.11.1982)/36</t>
  </si>
  <si>
    <t>99,65</t>
  </si>
  <si>
    <t xml:space="preserve">Барабинск/Новосибирская область </t>
  </si>
  <si>
    <t>177,0</t>
  </si>
  <si>
    <t>185,0</t>
  </si>
  <si>
    <t>192,5</t>
  </si>
  <si>
    <t>165,0</t>
  </si>
  <si>
    <t>167,5</t>
  </si>
  <si>
    <t>3. Романов Альберт</t>
  </si>
  <si>
    <t>Открытая (17.04.1982)/37</t>
  </si>
  <si>
    <t>98,20</t>
  </si>
  <si>
    <t>1. Скиба Сергей</t>
  </si>
  <si>
    <t>Мастера 40 - 44 (01.02.1977)/42</t>
  </si>
  <si>
    <t>99,50</t>
  </si>
  <si>
    <t>1. Болтов Вячеслав</t>
  </si>
  <si>
    <t>Мастера 45 - 49 (16.06.1973)/45</t>
  </si>
  <si>
    <t>98,15</t>
  </si>
  <si>
    <t>1. Селезнев Александр</t>
  </si>
  <si>
    <t>Мастера 60 - 64 (20.02.1956)/63</t>
  </si>
  <si>
    <t>95,00</t>
  </si>
  <si>
    <t>2. Кидалов Максим</t>
  </si>
  <si>
    <t>Открытая (26.05.1974)/44</t>
  </si>
  <si>
    <t>108,10</t>
  </si>
  <si>
    <t>1. Кидалов Максим</t>
  </si>
  <si>
    <t>Мастера 40 - 44 (26.05.1974)/44</t>
  </si>
  <si>
    <t>1. Грабовецкий Дмитрий</t>
  </si>
  <si>
    <t>Открытая (10.10.1982)/36</t>
  </si>
  <si>
    <t>121,00</t>
  </si>
  <si>
    <t>1. Есентимиров Нурлан</t>
  </si>
  <si>
    <t>Мастера 45 - 49 (25.11.1970)/48</t>
  </si>
  <si>
    <t>122,50</t>
  </si>
  <si>
    <t xml:space="preserve">Рузаевка/Казахстан </t>
  </si>
  <si>
    <t>ВЕСОВАЯ КАТЕГОРИЯ   140</t>
  </si>
  <si>
    <t>1. Храпузов Артем</t>
  </si>
  <si>
    <t>Юниоры 20 - 23 (22.05.1996)/22</t>
  </si>
  <si>
    <t>138,90</t>
  </si>
  <si>
    <t>1. Першин Игорь</t>
  </si>
  <si>
    <t>Открытая (10.04.1987)/32</t>
  </si>
  <si>
    <t>135,90</t>
  </si>
  <si>
    <t>220,0</t>
  </si>
  <si>
    <t>235,0</t>
  </si>
  <si>
    <t>245,0</t>
  </si>
  <si>
    <t>2. Доценко Павел</t>
  </si>
  <si>
    <t>Открытая (06.03.1984)/35</t>
  </si>
  <si>
    <t>138,10</t>
  </si>
  <si>
    <t>230,0</t>
  </si>
  <si>
    <t>237,5</t>
  </si>
  <si>
    <t>3. Зубарев Андрей</t>
  </si>
  <si>
    <t>Открытая (01.02.1981)/38</t>
  </si>
  <si>
    <t>133,40</t>
  </si>
  <si>
    <t>67.5</t>
  </si>
  <si>
    <t>60,0275</t>
  </si>
  <si>
    <t>59,1926</t>
  </si>
  <si>
    <t>58,0080</t>
  </si>
  <si>
    <t>99,6710</t>
  </si>
  <si>
    <t>140</t>
  </si>
  <si>
    <t>124,4625</t>
  </si>
  <si>
    <t>116,2857</t>
  </si>
  <si>
    <t>103,4812</t>
  </si>
  <si>
    <t>138,7419</t>
  </si>
  <si>
    <t>Чемпионат Омской области по силовым видам спорта (жим/становая тяга/военный жим)
ПРО жим лежа без экипировки
Омск/Омская область апреля 2019 г.</t>
  </si>
  <si>
    <t>1. Богомолов Егор</t>
  </si>
  <si>
    <t>Открытая (02.01.1992)/27</t>
  </si>
  <si>
    <t>82,50</t>
  </si>
  <si>
    <t>1. Смирнов Александр</t>
  </si>
  <si>
    <t>Открытая (27.03.1978)/41</t>
  </si>
  <si>
    <t>97,50</t>
  </si>
  <si>
    <t>180,0</t>
  </si>
  <si>
    <t>2. Ивченко Владимир</t>
  </si>
  <si>
    <t>Открытая (17.10.1981)/37</t>
  </si>
  <si>
    <t>98,00</t>
  </si>
  <si>
    <t>3. Панков Борис</t>
  </si>
  <si>
    <t>Открытая (26.04.1993)/25</t>
  </si>
  <si>
    <t>97,20</t>
  </si>
  <si>
    <t xml:space="preserve">с. Скобелево/Тульская область </t>
  </si>
  <si>
    <t>155,0</t>
  </si>
  <si>
    <t>1. Рязанов Алексей</t>
  </si>
  <si>
    <t>Открытая (30.08.1984)/34</t>
  </si>
  <si>
    <t>109,50</t>
  </si>
  <si>
    <t>ВЕСОВАЯ КАТЕГОРИЯ   140+</t>
  </si>
  <si>
    <t>1. Тетерев Вадим</t>
  </si>
  <si>
    <t>Открытая (10.11.1972)/46</t>
  </si>
  <si>
    <t>144,45</t>
  </si>
  <si>
    <t>215,0</t>
  </si>
  <si>
    <t>222,5</t>
  </si>
  <si>
    <t>140+</t>
  </si>
  <si>
    <t>107,2001</t>
  </si>
  <si>
    <t>100,8900</t>
  </si>
  <si>
    <t>96,6780</t>
  </si>
  <si>
    <t>Чемпионат Омской области по силовым видам спорта (жим/становая тяга/военный жим)
Любители становая тяга без экипировки
Омск/Омская область апреля 2019 г.</t>
  </si>
  <si>
    <t>Становая тяга</t>
  </si>
  <si>
    <t>1. Такмакова Ксения</t>
  </si>
  <si>
    <t>Юниорки 20 - 23 (09.03.1997)/22</t>
  </si>
  <si>
    <t>47,35</t>
  </si>
  <si>
    <t>90,0</t>
  </si>
  <si>
    <t>2. Артемьева Оксана</t>
  </si>
  <si>
    <t>Открытая (15.03.1987)/32</t>
  </si>
  <si>
    <t>47,50</t>
  </si>
  <si>
    <t>1. Файзрахманова Кристина</t>
  </si>
  <si>
    <t>Открытая (06.07.1988)/30</t>
  </si>
  <si>
    <t>1. Усатая Олеся</t>
  </si>
  <si>
    <t>Девушки 16 - 17 (17.08.2001)/17</t>
  </si>
  <si>
    <t>54,10</t>
  </si>
  <si>
    <t>1. Гончаренко Светлана</t>
  </si>
  <si>
    <t>Юниорки 20 - 23 (15.05.1998)/20</t>
  </si>
  <si>
    <t>52,60</t>
  </si>
  <si>
    <t>1. Ульданова Диана</t>
  </si>
  <si>
    <t>Открытая (18.12.1991)/27</t>
  </si>
  <si>
    <t>59,20</t>
  </si>
  <si>
    <t>2. Курбанова Олеся</t>
  </si>
  <si>
    <t>Открытая (13.02.1991)/28</t>
  </si>
  <si>
    <t>59,00</t>
  </si>
  <si>
    <t xml:space="preserve">Ишим/Тюменская область </t>
  </si>
  <si>
    <t>112,5</t>
  </si>
  <si>
    <t>1. Клепакова Маргарита</t>
  </si>
  <si>
    <t>1. Шитикова Валентина</t>
  </si>
  <si>
    <t>Открытая (28.03.1982)/37</t>
  </si>
  <si>
    <t>65,25</t>
  </si>
  <si>
    <t>2. Герасимова Ирина</t>
  </si>
  <si>
    <t>Открытая (19.09.1987)/31</t>
  </si>
  <si>
    <t>64,90</t>
  </si>
  <si>
    <t>65,70</t>
  </si>
  <si>
    <t>1. Лебедянцева Наталья</t>
  </si>
  <si>
    <t>Мастера 40 - 44 (15.04.1976)/43</t>
  </si>
  <si>
    <t>1. Чехомов Алексей</t>
  </si>
  <si>
    <t>Юноши 14-15 (12.08.2004)/14</t>
  </si>
  <si>
    <t>46,50</t>
  </si>
  <si>
    <t>1. Босенко Денис</t>
  </si>
  <si>
    <t>Юноши 14-15 (22.09.2003)/15</t>
  </si>
  <si>
    <t>57,90</t>
  </si>
  <si>
    <t>1. Вишняков Дмитрий</t>
  </si>
  <si>
    <t>Юноши 16 - 17 (12.07.2001)/17</t>
  </si>
  <si>
    <t>66,55</t>
  </si>
  <si>
    <t>200,0</t>
  </si>
  <si>
    <t>205,0</t>
  </si>
  <si>
    <t>2. Подгурский Елисей</t>
  </si>
  <si>
    <t>Юноши 16 - 17 (06.03.2002)/17</t>
  </si>
  <si>
    <t>63,50</t>
  </si>
  <si>
    <t>1. Калинин Александр</t>
  </si>
  <si>
    <t>Юниоры 20 - 23 (16.07.1997)/21</t>
  </si>
  <si>
    <t>212,5</t>
  </si>
  <si>
    <t>2. Капанин Сергей</t>
  </si>
  <si>
    <t>Юниоры 20 - 23 (28.01.1999)/20</t>
  </si>
  <si>
    <t>73,15</t>
  </si>
  <si>
    <t>Открытая (16.07.1997)/21</t>
  </si>
  <si>
    <t>2. Кункель Владимир</t>
  </si>
  <si>
    <t>Открытая (25.03.1992)/27</t>
  </si>
  <si>
    <t>74,35</t>
  </si>
  <si>
    <t>195,0</t>
  </si>
  <si>
    <t>3. Колотилин Константин</t>
  </si>
  <si>
    <t>1. Озюменко Артем</t>
  </si>
  <si>
    <t>Юноши 16 - 17 (10.10.2002)/16</t>
  </si>
  <si>
    <t>80,05</t>
  </si>
  <si>
    <t>1. Марцинкевич Юрий</t>
  </si>
  <si>
    <t>Юноши 18 - 19 (09.12.2000)/18</t>
  </si>
  <si>
    <t>77,95</t>
  </si>
  <si>
    <t xml:space="preserve">Краснодар/Краснодарский край </t>
  </si>
  <si>
    <t>187,5</t>
  </si>
  <si>
    <t>217,5</t>
  </si>
  <si>
    <t>2. Танмурзинов Алмаз</t>
  </si>
  <si>
    <t>1. Подгурский Семен</t>
  </si>
  <si>
    <t>Юниоры 20 - 23 (07.01.1999)/20</t>
  </si>
  <si>
    <t>81,90</t>
  </si>
  <si>
    <t>175,0</t>
  </si>
  <si>
    <t>2. Абдулаев Джабраил</t>
  </si>
  <si>
    <t>Юниоры 20 - 23 (27.11.1997)/21</t>
  </si>
  <si>
    <t>82,30</t>
  </si>
  <si>
    <t>1. Малшибаев Нургали</t>
  </si>
  <si>
    <t>Открытая (17.01.1977)/42</t>
  </si>
  <si>
    <t>78,90</t>
  </si>
  <si>
    <t xml:space="preserve">Астана/ </t>
  </si>
  <si>
    <t>2. Первушин Сергей</t>
  </si>
  <si>
    <t>1. Насыров Артем</t>
  </si>
  <si>
    <t>Юниоры 20 - 23 (15.10.1997)/21</t>
  </si>
  <si>
    <t>90,00</t>
  </si>
  <si>
    <t xml:space="preserve">Челябинск/Челябинская область </t>
  </si>
  <si>
    <t>225,0</t>
  </si>
  <si>
    <t>2. Карбушев Игорь</t>
  </si>
  <si>
    <t>197,5</t>
  </si>
  <si>
    <t>1. Шевченко Алексей</t>
  </si>
  <si>
    <t>Открытая (27.07.1992)/26</t>
  </si>
  <si>
    <t>86,10</t>
  </si>
  <si>
    <t>260,0</t>
  </si>
  <si>
    <t>270,0</t>
  </si>
  <si>
    <t>2. Исанбаев Вадим</t>
  </si>
  <si>
    <t>255,0</t>
  </si>
  <si>
    <t>3. Тимашина Алексей</t>
  </si>
  <si>
    <t>Открытая (04.05.1989)/29</t>
  </si>
  <si>
    <t>84,90</t>
  </si>
  <si>
    <t>210,0</t>
  </si>
  <si>
    <t>232,5</t>
  </si>
  <si>
    <t>4. Ефремов Дмитрий</t>
  </si>
  <si>
    <t>Открытая (28.09.1994)/24</t>
  </si>
  <si>
    <t>88,65</t>
  </si>
  <si>
    <t>-. Климович Александр</t>
  </si>
  <si>
    <t>1. Брюханов Данила</t>
  </si>
  <si>
    <t>Юниоры 20 - 23 (29.12.1995)/23</t>
  </si>
  <si>
    <t>98,60</t>
  </si>
  <si>
    <t>280,0</t>
  </si>
  <si>
    <t>300,0</t>
  </si>
  <si>
    <t>2. Морозов Алексей</t>
  </si>
  <si>
    <t>Юниоры 20 - 23 (21.03.1996)/23</t>
  </si>
  <si>
    <t>190,0</t>
  </si>
  <si>
    <t>290,0</t>
  </si>
  <si>
    <t>305,0</t>
  </si>
  <si>
    <t>2. Сулейменов Виталий</t>
  </si>
  <si>
    <t>Открытая (17.02.1982)/37</t>
  </si>
  <si>
    <t>94,00</t>
  </si>
  <si>
    <t>1. Пириев Рауф</t>
  </si>
  <si>
    <t>Юниоры 20 - 23 (31.05.1997)/21</t>
  </si>
  <si>
    <t>108,60</t>
  </si>
  <si>
    <t>275,0</t>
  </si>
  <si>
    <t>282,5</t>
  </si>
  <si>
    <t>Открытая (31.05.1997)/21</t>
  </si>
  <si>
    <t>2. Исаков Игорь</t>
  </si>
  <si>
    <t>Открытая (28.03.1986)/33</t>
  </si>
  <si>
    <t>101,70</t>
  </si>
  <si>
    <t>1. Ладыгин Максим</t>
  </si>
  <si>
    <t>Открытая (20.10.1990)/28</t>
  </si>
  <si>
    <t>122,30</t>
  </si>
  <si>
    <t>240,0</t>
  </si>
  <si>
    <t>250,0</t>
  </si>
  <si>
    <t>121,9790</t>
  </si>
  <si>
    <t>119,6415</t>
  </si>
  <si>
    <t>117,5445</t>
  </si>
  <si>
    <t>162,7733</t>
  </si>
  <si>
    <t>169,2445</t>
  </si>
  <si>
    <t>156,9398</t>
  </si>
  <si>
    <t>156,4680</t>
  </si>
  <si>
    <t>Чемпионат Омской области по силовым видам спорта (жим/становая тяга/военный жим)
ПРО становая тяга без экипировки
Омск/Омская область апреля 2019 г.</t>
  </si>
  <si>
    <t>1. Комаровский Владимир</t>
  </si>
  <si>
    <t>Открытая (03.11.1990)/28</t>
  </si>
  <si>
    <t>81,00</t>
  </si>
  <si>
    <t>1. Перешивко Роман</t>
  </si>
  <si>
    <t>Открытая (08.02.1984)/35</t>
  </si>
  <si>
    <t>89,60</t>
  </si>
  <si>
    <t>1. Новых Максим</t>
  </si>
  <si>
    <t>Открытая (01.04.1991)/28</t>
  </si>
  <si>
    <t>109,80</t>
  </si>
  <si>
    <t>330,0</t>
  </si>
  <si>
    <t>360,0</t>
  </si>
  <si>
    <t>Чемпионат Омской области по силовым видам спорта (народный жим)
Любители народный жим (1 вес)
Омск/Омская область апреля 2019 г.</t>
  </si>
  <si>
    <t>НАП Н.Ж.</t>
  </si>
  <si>
    <t>1. Екимов Максим</t>
  </si>
  <si>
    <t>Открытая (21.09.1984)/34</t>
  </si>
  <si>
    <t>19,0</t>
  </si>
  <si>
    <t>15,0</t>
  </si>
  <si>
    <t>Жим мн. повт.</t>
  </si>
  <si>
    <t>Вес</t>
  </si>
  <si>
    <t>Повторы</t>
  </si>
  <si>
    <t>Тоннаж</t>
  </si>
  <si>
    <t>Чемпионат Омской области по силовым видам спорта (народный жим)
Профессионалы народный жим (1 вес)
Омск/Омская область апреля 2019 г.</t>
  </si>
  <si>
    <t>1. Ивченко Владимир</t>
  </si>
  <si>
    <t>22,0</t>
  </si>
  <si>
    <t>13,0</t>
  </si>
  <si>
    <t>Чемпионат Омской области по силовым видам спорта (русский жим)
Русский жим профессионалы 75 кг.
Омск/Омская область апреля 2019 г.</t>
  </si>
  <si>
    <t>Атлетизм</t>
  </si>
  <si>
    <t>ВЕСОВАЯ КАТЕГОРИЯ   All</t>
  </si>
  <si>
    <t>1. Серебренников Евгений</t>
  </si>
  <si>
    <t>Открытая (04.04.1983)/36</t>
  </si>
  <si>
    <t>42,0</t>
  </si>
  <si>
    <t xml:space="preserve">Атлетизм </t>
  </si>
  <si>
    <t>Чемпионат Омской области по силовым видам спорта (русский жим)
Русский жим профессионалы 100 кг.
Омск/Омская область апреля 2019 г.</t>
  </si>
  <si>
    <t>1. Плотников Святослав</t>
  </si>
  <si>
    <t>Юниоры 20 - 23 (17.02.1998)/21</t>
  </si>
  <si>
    <t>17,0</t>
  </si>
  <si>
    <t>Чемпионат Омской области по силовым видам спорта (русский жим)
Русский жим любители 35 кг.
Омск/Омская область апреля 2019 г.</t>
  </si>
  <si>
    <t>1. Жарова Виктория</t>
  </si>
  <si>
    <t>Открытая (12.03.1981)/38</t>
  </si>
  <si>
    <t>54,95</t>
  </si>
  <si>
    <t>32,0</t>
  </si>
  <si>
    <t>Чемпионат Омской области по силовым видам спорта (русский жим)
Русский жим любители 55 кг.
Омск/Омская область апреля 2019 г.</t>
  </si>
  <si>
    <t>1. Мартыневич Илья</t>
  </si>
  <si>
    <t>Открытая (02.01.1988)/31</t>
  </si>
  <si>
    <t>80,95</t>
  </si>
  <si>
    <t>Открытая (26.03.1986)/33</t>
  </si>
  <si>
    <t>94,60</t>
  </si>
  <si>
    <t>Открытая (08.10.1979)/39</t>
  </si>
  <si>
    <t>81,10</t>
  </si>
  <si>
    <t>61,0</t>
  </si>
  <si>
    <t>52,0</t>
  </si>
  <si>
    <t>Открытая (28.11.1985)/33</t>
  </si>
  <si>
    <t>88,80</t>
  </si>
  <si>
    <t>51,0</t>
  </si>
  <si>
    <t>48,0</t>
  </si>
  <si>
    <t>Открытая (19.02.1992)/27</t>
  </si>
  <si>
    <t>80,00</t>
  </si>
  <si>
    <t>44,0</t>
  </si>
  <si>
    <t>88,10</t>
  </si>
  <si>
    <t>64,0</t>
  </si>
  <si>
    <t>5775,0</t>
  </si>
  <si>
    <t>71,3403</t>
  </si>
  <si>
    <t>Чемпионат Омской области по силовым видам спорта (русский жим)
Русский жим любители 75 кг.
Омск/Омская область апреля 2019 г.</t>
  </si>
  <si>
    <t>1. Ащербагин Азат</t>
  </si>
  <si>
    <t>31,0</t>
  </si>
  <si>
    <t>Чемпионат Омской области по силовым видам спорта (русский жим)
Русский жим любители 100 кг.
Омск/Омская область апреля 2019 г.</t>
  </si>
  <si>
    <t>1. Кайсин Александр</t>
  </si>
  <si>
    <t>Открытая (19.01.1983)/36</t>
  </si>
  <si>
    <t>91,50</t>
  </si>
  <si>
    <t>26,0</t>
  </si>
  <si>
    <t>2. Царев Игорь</t>
  </si>
  <si>
    <t>Открытая (11.09.1983)/35</t>
  </si>
  <si>
    <t>113,50</t>
  </si>
  <si>
    <t>16,0</t>
  </si>
  <si>
    <t>Курочкин Е.В.</t>
  </si>
  <si>
    <t>Репетиева Е.Ю.</t>
  </si>
  <si>
    <t>Доценко П.Г.</t>
  </si>
  <si>
    <t>Плисов М.</t>
  </si>
  <si>
    <t>Царёв И.</t>
  </si>
  <si>
    <t>ВЕСОВАЯ КАТЕГОРИЯ   82,6-100кг</t>
  </si>
  <si>
    <t>2. Селезнев Александр</t>
  </si>
  <si>
    <t>Открытая (20.02.1956)/63</t>
  </si>
  <si>
    <t>ВЕСОВАЯ КАТЕГОРИЯ   100-125кг</t>
  </si>
  <si>
    <t>Фролов Е.</t>
  </si>
  <si>
    <t>2. Резина Анна</t>
  </si>
  <si>
    <t>3. Ульданова Диана</t>
  </si>
  <si>
    <t>3. Шевченко Алексей</t>
  </si>
  <si>
    <t>2. Смирнов Александр</t>
  </si>
  <si>
    <t>3. Рязанов Алексей</t>
  </si>
  <si>
    <t>Павлов С.</t>
  </si>
  <si>
    <t>2. Маркова Оксана</t>
  </si>
  <si>
    <t>3. Резина Анна</t>
  </si>
  <si>
    <t>3. Науман Юрий</t>
  </si>
  <si>
    <t>2. Носарев Георгий</t>
  </si>
  <si>
    <t>ВЕСОВАЯ КАТЕГОРИЯ   до 56кг</t>
  </si>
  <si>
    <t>ВЕСОВАЯ КАТЕГОРИЯ   до 82,5кг</t>
  </si>
  <si>
    <t>2. Шакиров Жаслан</t>
  </si>
  <si>
    <t>3. Лотц Алексей</t>
  </si>
  <si>
    <t>4. Ппоян Альберт</t>
  </si>
  <si>
    <t>Юниоры  (27.08.1997)/21</t>
  </si>
  <si>
    <t>Юниоры  (03.04.2001)/18</t>
  </si>
  <si>
    <t>2. Гаджиев Тахир</t>
  </si>
  <si>
    <t>3. Солодовников Дмитрий</t>
  </si>
  <si>
    <t>4. Монин Дмитрий</t>
  </si>
  <si>
    <t>5. Кузнецов Станислав</t>
  </si>
  <si>
    <t>6. Фадин Антон</t>
  </si>
  <si>
    <t>3. Коновальчук Евгений</t>
  </si>
  <si>
    <t>Открытая (11.05.1976)/42</t>
  </si>
  <si>
    <t>2. Жаров Дмитрий</t>
  </si>
  <si>
    <t>4. Первушин Сергей</t>
  </si>
  <si>
    <t>5. Логинов Павел</t>
  </si>
  <si>
    <t>ВЕСОВАЯ КАТЕГОРИЯ  100-125кг</t>
  </si>
  <si>
    <t>Открытая (01.04.1976)/43</t>
  </si>
  <si>
    <t>1. Киргизов Иван</t>
  </si>
  <si>
    <t>2. Шибаненко Валентин</t>
  </si>
  <si>
    <t>3. Ротарь Александр</t>
  </si>
  <si>
    <t>82,6-100кг</t>
  </si>
  <si>
    <t>1.Мартыневич Илья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</si>
</sst>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 indent="1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7" fillId="0" borderId="19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left"/>
    </xf>
    <xf numFmtId="49" fontId="0" fillId="33" borderId="13" xfId="0" applyNumberFormat="1" applyFont="1" applyFill="1" applyBorder="1" applyAlignment="1">
      <alignment horizontal="left"/>
    </xf>
    <xf numFmtId="49" fontId="0" fillId="33" borderId="13" xfId="0" applyNumberFormat="1" applyFill="1" applyBorder="1" applyAlignment="1">
      <alignment horizontal="left"/>
    </xf>
    <xf numFmtId="49" fontId="0" fillId="33" borderId="14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1">
      <selection activeCell="A26" sqref="A26:L26"/>
    </sheetView>
  </sheetViews>
  <sheetFormatPr defaultColWidth="9.1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2.375" style="4" bestFit="1" customWidth="1"/>
    <col min="7" max="9" width="5.625" style="3" bestFit="1" customWidth="1"/>
    <col min="10" max="10" width="4.875" style="3" bestFit="1" customWidth="1"/>
    <col min="11" max="11" width="11.2539062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8" t="s">
        <v>373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1.5" customHeight="1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0</v>
      </c>
      <c r="B3" s="66" t="s">
        <v>5</v>
      </c>
      <c r="C3" s="66" t="s">
        <v>6</v>
      </c>
      <c r="D3" s="53" t="s">
        <v>9</v>
      </c>
      <c r="E3" s="53" t="s">
        <v>3</v>
      </c>
      <c r="F3" s="53" t="s">
        <v>7</v>
      </c>
      <c r="G3" s="53" t="s">
        <v>374</v>
      </c>
      <c r="H3" s="53"/>
      <c r="I3" s="53"/>
      <c r="J3" s="53"/>
      <c r="K3" s="53" t="s">
        <v>114</v>
      </c>
      <c r="L3" s="53" t="s">
        <v>2</v>
      </c>
      <c r="M3" s="55" t="s">
        <v>1</v>
      </c>
    </row>
    <row r="4" spans="1:13" s="1" customFormat="1" ht="21" customHeight="1" thickBot="1">
      <c r="A4" s="65"/>
      <c r="B4" s="54"/>
      <c r="C4" s="54"/>
      <c r="D4" s="54"/>
      <c r="E4" s="54"/>
      <c r="F4" s="54"/>
      <c r="G4" s="5">
        <v>1</v>
      </c>
      <c r="H4" s="5">
        <v>2</v>
      </c>
      <c r="I4" s="5">
        <v>3</v>
      </c>
      <c r="J4" s="5" t="s">
        <v>4</v>
      </c>
      <c r="K4" s="54"/>
      <c r="L4" s="54"/>
      <c r="M4" s="56"/>
    </row>
    <row r="5" spans="1:12" ht="15">
      <c r="A5" s="57" t="s">
        <v>163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3" ht="12.75">
      <c r="A6" s="10" t="s">
        <v>375</v>
      </c>
      <c r="B6" s="10" t="s">
        <v>376</v>
      </c>
      <c r="C6" s="10" t="s">
        <v>377</v>
      </c>
      <c r="D6" s="10" t="str">
        <f>"1,0458"</f>
        <v>1,0458</v>
      </c>
      <c r="E6" s="10" t="s">
        <v>15</v>
      </c>
      <c r="F6" s="10" t="s">
        <v>23</v>
      </c>
      <c r="G6" s="12" t="s">
        <v>378</v>
      </c>
      <c r="H6" s="12" t="s">
        <v>226</v>
      </c>
      <c r="I6" s="11" t="s">
        <v>230</v>
      </c>
      <c r="J6" s="11"/>
      <c r="K6" s="10" t="str">
        <f>"95,0"</f>
        <v>95,0</v>
      </c>
      <c r="L6" s="12" t="str">
        <f>"100,3445"</f>
        <v>100,3445</v>
      </c>
      <c r="M6" s="10" t="s">
        <v>18</v>
      </c>
    </row>
    <row r="7" spans="1:13" ht="12.75">
      <c r="A7" s="16" t="s">
        <v>379</v>
      </c>
      <c r="B7" s="16" t="s">
        <v>380</v>
      </c>
      <c r="C7" s="16" t="s">
        <v>381</v>
      </c>
      <c r="D7" s="16" t="str">
        <f>"1,0432"</f>
        <v>1,0432</v>
      </c>
      <c r="E7" s="16" t="s">
        <v>15</v>
      </c>
      <c r="F7" s="16" t="s">
        <v>23</v>
      </c>
      <c r="G7" s="17" t="s">
        <v>196</v>
      </c>
      <c r="H7" s="18" t="s">
        <v>196</v>
      </c>
      <c r="I7" s="18" t="s">
        <v>226</v>
      </c>
      <c r="J7" s="17"/>
      <c r="K7" s="16" t="str">
        <f>"95,0"</f>
        <v>95,0</v>
      </c>
      <c r="L7" s="18" t="str">
        <f>"99,1040"</f>
        <v>99,1040</v>
      </c>
      <c r="M7" s="16" t="s">
        <v>18</v>
      </c>
    </row>
    <row r="9" spans="1:12" ht="15">
      <c r="A9" s="52" t="s">
        <v>189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3" ht="12.75">
      <c r="A10" s="6" t="s">
        <v>382</v>
      </c>
      <c r="B10" s="6" t="s">
        <v>383</v>
      </c>
      <c r="C10" s="6" t="s">
        <v>192</v>
      </c>
      <c r="D10" s="6" t="str">
        <f>"0,9693"</f>
        <v>0,9693</v>
      </c>
      <c r="E10" s="6" t="s">
        <v>15</v>
      </c>
      <c r="F10" s="6" t="s">
        <v>23</v>
      </c>
      <c r="G10" s="8" t="s">
        <v>196</v>
      </c>
      <c r="H10" s="8" t="s">
        <v>378</v>
      </c>
      <c r="I10" s="8" t="s">
        <v>197</v>
      </c>
      <c r="J10" s="7"/>
      <c r="K10" s="6" t="str">
        <f>"92,5"</f>
        <v>92,5</v>
      </c>
      <c r="L10" s="8" t="str">
        <f>"89,6649"</f>
        <v>89,6649</v>
      </c>
      <c r="M10" s="6" t="s">
        <v>18</v>
      </c>
    </row>
    <row r="12" spans="1:12" ht="15">
      <c r="A12" s="52" t="s">
        <v>19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3" ht="12.75">
      <c r="A13" s="10" t="s">
        <v>384</v>
      </c>
      <c r="B13" s="10" t="s">
        <v>385</v>
      </c>
      <c r="C13" s="10" t="s">
        <v>386</v>
      </c>
      <c r="D13" s="10" t="str">
        <f>"0,9383"</f>
        <v>0,9383</v>
      </c>
      <c r="E13" s="10" t="s">
        <v>15</v>
      </c>
      <c r="F13" s="10" t="s">
        <v>23</v>
      </c>
      <c r="G13" s="12" t="s">
        <v>277</v>
      </c>
      <c r="H13" s="12" t="s">
        <v>159</v>
      </c>
      <c r="I13" s="12" t="s">
        <v>136</v>
      </c>
      <c r="J13" s="11"/>
      <c r="K13" s="10" t="str">
        <f>"130,0"</f>
        <v>130,0</v>
      </c>
      <c r="L13" s="12" t="str">
        <f>"131,7373"</f>
        <v>131,7373</v>
      </c>
      <c r="M13" s="10" t="s">
        <v>18</v>
      </c>
    </row>
    <row r="14" spans="1:13" ht="12.75">
      <c r="A14" s="13" t="s">
        <v>387</v>
      </c>
      <c r="B14" s="13" t="s">
        <v>388</v>
      </c>
      <c r="C14" s="13" t="s">
        <v>389</v>
      </c>
      <c r="D14" s="13" t="str">
        <f>"0,9603"</f>
        <v>0,9603</v>
      </c>
      <c r="E14" s="13" t="s">
        <v>15</v>
      </c>
      <c r="F14" s="13" t="s">
        <v>23</v>
      </c>
      <c r="G14" s="14" t="s">
        <v>230</v>
      </c>
      <c r="H14" s="15" t="s">
        <v>230</v>
      </c>
      <c r="I14" s="15" t="s">
        <v>277</v>
      </c>
      <c r="J14" s="14"/>
      <c r="K14" s="13" t="str">
        <f>"107,5"</f>
        <v>107,5</v>
      </c>
      <c r="L14" s="15" t="str">
        <f>"106,3237"</f>
        <v>106,3237</v>
      </c>
      <c r="M14" s="13" t="s">
        <v>18</v>
      </c>
    </row>
    <row r="16" spans="1:12" ht="15">
      <c r="A16" s="52" t="s">
        <v>11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3" ht="12.75">
      <c r="A17" s="10" t="s">
        <v>390</v>
      </c>
      <c r="B17" s="10" t="s">
        <v>391</v>
      </c>
      <c r="C17" s="10" t="s">
        <v>392</v>
      </c>
      <c r="D17" s="10" t="str">
        <f>"0,8707"</f>
        <v>0,8707</v>
      </c>
      <c r="E17" s="10" t="s">
        <v>15</v>
      </c>
      <c r="F17" s="10" t="s">
        <v>23</v>
      </c>
      <c r="G17" s="12" t="s">
        <v>159</v>
      </c>
      <c r="H17" s="12" t="s">
        <v>136</v>
      </c>
      <c r="I17" s="12" t="s">
        <v>142</v>
      </c>
      <c r="J17" s="11"/>
      <c r="K17" s="10" t="str">
        <f>"135,0"</f>
        <v>135,0</v>
      </c>
      <c r="L17" s="12" t="str">
        <f>"117,5445"</f>
        <v>117,5445</v>
      </c>
      <c r="M17" s="10" t="s">
        <v>18</v>
      </c>
    </row>
    <row r="18" spans="1:13" ht="12.75">
      <c r="A18" s="16" t="s">
        <v>393</v>
      </c>
      <c r="B18" s="16" t="s">
        <v>394</v>
      </c>
      <c r="C18" s="16" t="s">
        <v>395</v>
      </c>
      <c r="D18" s="16" t="str">
        <f>"0,8731"</f>
        <v>0,8731</v>
      </c>
      <c r="E18" s="16" t="s">
        <v>15</v>
      </c>
      <c r="F18" s="16" t="s">
        <v>396</v>
      </c>
      <c r="G18" s="18" t="s">
        <v>230</v>
      </c>
      <c r="H18" s="18" t="s">
        <v>397</v>
      </c>
      <c r="I18" s="18" t="s">
        <v>256</v>
      </c>
      <c r="J18" s="17"/>
      <c r="K18" s="16" t="str">
        <f>"117,5"</f>
        <v>117,5</v>
      </c>
      <c r="L18" s="18" t="str">
        <f>"102,5951"</f>
        <v>102,5951</v>
      </c>
      <c r="M18" s="16" t="s">
        <v>18</v>
      </c>
    </row>
    <row r="20" spans="1:12" ht="15">
      <c r="A20" s="52" t="s">
        <v>171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3" ht="12.75">
      <c r="A21" s="10" t="s">
        <v>398</v>
      </c>
      <c r="B21" s="10" t="s">
        <v>176</v>
      </c>
      <c r="C21" s="10" t="s">
        <v>177</v>
      </c>
      <c r="D21" s="10" t="str">
        <f>"0,8508"</f>
        <v>0,8508</v>
      </c>
      <c r="E21" s="10" t="s">
        <v>15</v>
      </c>
      <c r="F21" s="10" t="s">
        <v>23</v>
      </c>
      <c r="G21" s="12" t="s">
        <v>74</v>
      </c>
      <c r="H21" s="12" t="s">
        <v>196</v>
      </c>
      <c r="I21" s="11" t="s">
        <v>378</v>
      </c>
      <c r="J21" s="11"/>
      <c r="K21" s="10" t="str">
        <f>"85,0"</f>
        <v>85,0</v>
      </c>
      <c r="L21" s="12" t="str">
        <f>"73,7644"</f>
        <v>73,7644</v>
      </c>
      <c r="M21" s="10" t="s">
        <v>18</v>
      </c>
    </row>
    <row r="22" spans="1:13" ht="12.75">
      <c r="A22" s="13" t="s">
        <v>399</v>
      </c>
      <c r="B22" s="13" t="s">
        <v>400</v>
      </c>
      <c r="C22" s="13" t="s">
        <v>401</v>
      </c>
      <c r="D22" s="13" t="str">
        <f>"0,8021"</f>
        <v>0,8021</v>
      </c>
      <c r="E22" s="13" t="s">
        <v>15</v>
      </c>
      <c r="F22" s="13" t="s">
        <v>23</v>
      </c>
      <c r="G22" s="15" t="s">
        <v>136</v>
      </c>
      <c r="H22" s="15" t="s">
        <v>153</v>
      </c>
      <c r="I22" s="15" t="s">
        <v>160</v>
      </c>
      <c r="J22" s="14"/>
      <c r="K22" s="13" t="str">
        <f>"140,0"</f>
        <v>140,0</v>
      </c>
      <c r="L22" s="15" t="str">
        <f>"112,2940"</f>
        <v>112,2940</v>
      </c>
      <c r="M22" s="13" t="s">
        <v>18</v>
      </c>
    </row>
    <row r="23" spans="1:13" ht="12.75">
      <c r="A23" s="13" t="s">
        <v>402</v>
      </c>
      <c r="B23" s="13" t="s">
        <v>403</v>
      </c>
      <c r="C23" s="13" t="s">
        <v>404</v>
      </c>
      <c r="D23" s="13" t="str">
        <f>"0,8058"</f>
        <v>0,8058</v>
      </c>
      <c r="E23" s="13" t="s">
        <v>15</v>
      </c>
      <c r="F23" s="13" t="s">
        <v>396</v>
      </c>
      <c r="G23" s="15" t="s">
        <v>210</v>
      </c>
      <c r="H23" s="14" t="s">
        <v>153</v>
      </c>
      <c r="I23" s="14" t="s">
        <v>153</v>
      </c>
      <c r="J23" s="14"/>
      <c r="K23" s="13" t="str">
        <f>"120,0"</f>
        <v>120,0</v>
      </c>
      <c r="L23" s="15" t="str">
        <f>"96,6900"</f>
        <v>96,6900</v>
      </c>
      <c r="M23" s="13" t="s">
        <v>18</v>
      </c>
    </row>
    <row r="24" spans="1:13" ht="12.75">
      <c r="A24" s="16" t="s">
        <v>406</v>
      </c>
      <c r="B24" s="16" t="s">
        <v>407</v>
      </c>
      <c r="C24" s="16" t="s">
        <v>405</v>
      </c>
      <c r="D24" s="16" t="str">
        <f>"0,7974"</f>
        <v>0,7974</v>
      </c>
      <c r="E24" s="16" t="s">
        <v>15</v>
      </c>
      <c r="F24" s="16" t="s">
        <v>23</v>
      </c>
      <c r="G24" s="18" t="s">
        <v>378</v>
      </c>
      <c r="H24" s="18" t="s">
        <v>230</v>
      </c>
      <c r="I24" s="17" t="s">
        <v>218</v>
      </c>
      <c r="J24" s="17"/>
      <c r="K24" s="16" t="str">
        <f>"100,0"</f>
        <v>100,0</v>
      </c>
      <c r="L24" s="18" t="str">
        <f>"81,1753"</f>
        <v>81,1753</v>
      </c>
      <c r="M24" s="16" t="s">
        <v>18</v>
      </c>
    </row>
    <row r="26" spans="1:12" ht="15">
      <c r="A26" s="52" t="s">
        <v>27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3" ht="12.75">
      <c r="A27" s="6" t="s">
        <v>183</v>
      </c>
      <c r="B27" s="6" t="s">
        <v>184</v>
      </c>
      <c r="C27" s="6" t="s">
        <v>185</v>
      </c>
      <c r="D27" s="6" t="str">
        <f>"0,7251"</f>
        <v>0,7251</v>
      </c>
      <c r="E27" s="6" t="s">
        <v>15</v>
      </c>
      <c r="F27" s="6" t="s">
        <v>23</v>
      </c>
      <c r="G27" s="8" t="s">
        <v>267</v>
      </c>
      <c r="H27" s="8" t="s">
        <v>290</v>
      </c>
      <c r="I27" s="7" t="s">
        <v>262</v>
      </c>
      <c r="J27" s="7"/>
      <c r="K27" s="6" t="str">
        <f>"165,0"</f>
        <v>165,0</v>
      </c>
      <c r="L27" s="8" t="str">
        <f>"119,6415"</f>
        <v>119,6415</v>
      </c>
      <c r="M27" s="6" t="s">
        <v>18</v>
      </c>
    </row>
    <row r="29" spans="1:12" ht="15">
      <c r="A29" s="52" t="s">
        <v>189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3" ht="12.75">
      <c r="A30" s="6" t="s">
        <v>408</v>
      </c>
      <c r="B30" s="6" t="s">
        <v>409</v>
      </c>
      <c r="C30" s="6" t="s">
        <v>410</v>
      </c>
      <c r="D30" s="6" t="str">
        <f>"1,0884"</f>
        <v>1,0884</v>
      </c>
      <c r="E30" s="6" t="s">
        <v>15</v>
      </c>
      <c r="F30" s="6" t="s">
        <v>23</v>
      </c>
      <c r="G30" s="8" t="s">
        <v>378</v>
      </c>
      <c r="H30" s="8" t="s">
        <v>230</v>
      </c>
      <c r="I30" s="7" t="s">
        <v>277</v>
      </c>
      <c r="J30" s="7"/>
      <c r="K30" s="6" t="str">
        <f>"100,0"</f>
        <v>100,0</v>
      </c>
      <c r="L30" s="8" t="str">
        <f>"133,8732"</f>
        <v>133,8732</v>
      </c>
      <c r="M30" s="6" t="s">
        <v>18</v>
      </c>
    </row>
    <row r="32" spans="1:12" ht="15">
      <c r="A32" s="52" t="s">
        <v>11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3" ht="12.75">
      <c r="A33" s="10" t="s">
        <v>411</v>
      </c>
      <c r="B33" s="10" t="s">
        <v>412</v>
      </c>
      <c r="C33" s="10" t="s">
        <v>413</v>
      </c>
      <c r="D33" s="10" t="str">
        <f>"0,8437"</f>
        <v>0,8437</v>
      </c>
      <c r="E33" s="10" t="s">
        <v>15</v>
      </c>
      <c r="F33" s="10" t="s">
        <v>23</v>
      </c>
      <c r="G33" s="12" t="s">
        <v>234</v>
      </c>
      <c r="H33" s="12" t="s">
        <v>218</v>
      </c>
      <c r="I33" s="12" t="s">
        <v>222</v>
      </c>
      <c r="J33" s="11"/>
      <c r="K33" s="10" t="str">
        <f>"115,0"</f>
        <v>115,0</v>
      </c>
      <c r="L33" s="12" t="str">
        <f>"114,4901"</f>
        <v>114,4901</v>
      </c>
      <c r="M33" s="10" t="s">
        <v>18</v>
      </c>
    </row>
    <row r="34" spans="1:13" ht="12.75">
      <c r="A34" s="16" t="s">
        <v>198</v>
      </c>
      <c r="B34" s="16" t="s">
        <v>199</v>
      </c>
      <c r="C34" s="16" t="s">
        <v>200</v>
      </c>
      <c r="D34" s="16" t="str">
        <f>"0,8476"</f>
        <v>0,8476</v>
      </c>
      <c r="E34" s="16" t="s">
        <v>15</v>
      </c>
      <c r="F34" s="16" t="s">
        <v>23</v>
      </c>
      <c r="G34" s="18" t="s">
        <v>74</v>
      </c>
      <c r="H34" s="18" t="s">
        <v>78</v>
      </c>
      <c r="I34" s="18" t="s">
        <v>196</v>
      </c>
      <c r="J34" s="17"/>
      <c r="K34" s="16" t="str">
        <f>"85,0"</f>
        <v>85,0</v>
      </c>
      <c r="L34" s="18" t="str">
        <f>"81,4120"</f>
        <v>81,4120</v>
      </c>
      <c r="M34" s="16" t="s">
        <v>18</v>
      </c>
    </row>
    <row r="36" spans="1:12" ht="15">
      <c r="A36" s="52" t="s">
        <v>171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3" ht="12.75">
      <c r="A37" s="10" t="s">
        <v>414</v>
      </c>
      <c r="B37" s="10" t="s">
        <v>415</v>
      </c>
      <c r="C37" s="10" t="s">
        <v>416</v>
      </c>
      <c r="D37" s="10" t="str">
        <f>"0,7352"</f>
        <v>0,7352</v>
      </c>
      <c r="E37" s="10" t="s">
        <v>15</v>
      </c>
      <c r="F37" s="10" t="s">
        <v>242</v>
      </c>
      <c r="G37" s="12" t="s">
        <v>289</v>
      </c>
      <c r="H37" s="12" t="s">
        <v>417</v>
      </c>
      <c r="I37" s="12" t="s">
        <v>418</v>
      </c>
      <c r="J37" s="11"/>
      <c r="K37" s="10" t="str">
        <f>"205,0"</f>
        <v>205,0</v>
      </c>
      <c r="L37" s="12" t="str">
        <f>"162,7733"</f>
        <v>162,7733</v>
      </c>
      <c r="M37" s="10" t="s">
        <v>18</v>
      </c>
    </row>
    <row r="38" spans="1:13" ht="12.75">
      <c r="A38" s="16" t="s">
        <v>419</v>
      </c>
      <c r="B38" s="16" t="s">
        <v>420</v>
      </c>
      <c r="C38" s="16" t="s">
        <v>421</v>
      </c>
      <c r="D38" s="16" t="str">
        <f>"0,7682"</f>
        <v>0,7682</v>
      </c>
      <c r="E38" s="16" t="s">
        <v>15</v>
      </c>
      <c r="F38" s="16" t="s">
        <v>23</v>
      </c>
      <c r="G38" s="18" t="s">
        <v>210</v>
      </c>
      <c r="H38" s="18" t="s">
        <v>136</v>
      </c>
      <c r="I38" s="17" t="s">
        <v>160</v>
      </c>
      <c r="J38" s="17"/>
      <c r="K38" s="16" t="str">
        <f>"130,0"</f>
        <v>130,0</v>
      </c>
      <c r="L38" s="18" t="str">
        <f>"107,8553"</f>
        <v>107,8553</v>
      </c>
      <c r="M38" s="16" t="s">
        <v>18</v>
      </c>
    </row>
    <row r="40" spans="1:12" ht="15">
      <c r="A40" s="52" t="s">
        <v>27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3" ht="12.75">
      <c r="A41" s="10" t="s">
        <v>422</v>
      </c>
      <c r="B41" s="10" t="s">
        <v>423</v>
      </c>
      <c r="C41" s="10" t="s">
        <v>238</v>
      </c>
      <c r="D41" s="10" t="str">
        <f>"0,6645"</f>
        <v>0,6645</v>
      </c>
      <c r="E41" s="10" t="s">
        <v>15</v>
      </c>
      <c r="F41" s="10" t="s">
        <v>396</v>
      </c>
      <c r="G41" s="12" t="s">
        <v>417</v>
      </c>
      <c r="H41" s="11" t="s">
        <v>424</v>
      </c>
      <c r="I41" s="11" t="s">
        <v>424</v>
      </c>
      <c r="J41" s="11"/>
      <c r="K41" s="10" t="str">
        <f>"200,0"</f>
        <v>200,0</v>
      </c>
      <c r="L41" s="12" t="str">
        <f>"135,5580"</f>
        <v>135,5580</v>
      </c>
      <c r="M41" s="10" t="s">
        <v>18</v>
      </c>
    </row>
    <row r="42" spans="1:13" ht="12.75">
      <c r="A42" s="13" t="s">
        <v>425</v>
      </c>
      <c r="B42" s="13" t="s">
        <v>426</v>
      </c>
      <c r="C42" s="13" t="s">
        <v>427</v>
      </c>
      <c r="D42" s="13" t="str">
        <f>"0,6778"</f>
        <v>0,6778</v>
      </c>
      <c r="E42" s="13" t="s">
        <v>15</v>
      </c>
      <c r="F42" s="13" t="s">
        <v>23</v>
      </c>
      <c r="G42" s="15" t="s">
        <v>267</v>
      </c>
      <c r="H42" s="15" t="s">
        <v>262</v>
      </c>
      <c r="I42" s="14" t="s">
        <v>351</v>
      </c>
      <c r="J42" s="14"/>
      <c r="K42" s="13" t="str">
        <f>"170,0"</f>
        <v>170,0</v>
      </c>
      <c r="L42" s="15" t="str">
        <f>"118,6828"</f>
        <v>118,6828</v>
      </c>
      <c r="M42" s="13" t="s">
        <v>18</v>
      </c>
    </row>
    <row r="43" spans="1:13" ht="12.75">
      <c r="A43" s="13" t="s">
        <v>422</v>
      </c>
      <c r="B43" s="13" t="s">
        <v>428</v>
      </c>
      <c r="C43" s="13" t="s">
        <v>238</v>
      </c>
      <c r="D43" s="13" t="str">
        <f>"0,6645"</f>
        <v>0,6645</v>
      </c>
      <c r="E43" s="13" t="s">
        <v>15</v>
      </c>
      <c r="F43" s="13" t="s">
        <v>396</v>
      </c>
      <c r="G43" s="15" t="s">
        <v>417</v>
      </c>
      <c r="H43" s="14" t="s">
        <v>424</v>
      </c>
      <c r="I43" s="14" t="s">
        <v>424</v>
      </c>
      <c r="J43" s="14"/>
      <c r="K43" s="13" t="str">
        <f>"200,0"</f>
        <v>200,0</v>
      </c>
      <c r="L43" s="15" t="str">
        <f>"132,9000"</f>
        <v>132,9000</v>
      </c>
      <c r="M43" s="13" t="s">
        <v>18</v>
      </c>
    </row>
    <row r="44" spans="1:13" ht="12.75">
      <c r="A44" s="13" t="s">
        <v>429</v>
      </c>
      <c r="B44" s="13" t="s">
        <v>430</v>
      </c>
      <c r="C44" s="13" t="s">
        <v>431</v>
      </c>
      <c r="D44" s="13" t="str">
        <f>"0,6690"</f>
        <v>0,6690</v>
      </c>
      <c r="E44" s="13" t="s">
        <v>15</v>
      </c>
      <c r="F44" s="13" t="s">
        <v>23</v>
      </c>
      <c r="G44" s="15" t="s">
        <v>432</v>
      </c>
      <c r="H44" s="14" t="s">
        <v>418</v>
      </c>
      <c r="I44" s="14" t="s">
        <v>418</v>
      </c>
      <c r="J44" s="14"/>
      <c r="K44" s="13" t="str">
        <f>"195,0"</f>
        <v>195,0</v>
      </c>
      <c r="L44" s="15" t="str">
        <f>"130,4647"</f>
        <v>130,4647</v>
      </c>
      <c r="M44" s="13" t="s">
        <v>18</v>
      </c>
    </row>
    <row r="45" spans="1:13" ht="12.75">
      <c r="A45" s="16" t="s">
        <v>433</v>
      </c>
      <c r="B45" s="16" t="s">
        <v>228</v>
      </c>
      <c r="C45" s="16" t="s">
        <v>229</v>
      </c>
      <c r="D45" s="16" t="str">
        <f>"0,6726"</f>
        <v>0,6726</v>
      </c>
      <c r="E45" s="16" t="s">
        <v>15</v>
      </c>
      <c r="F45" s="16" t="s">
        <v>23</v>
      </c>
      <c r="G45" s="18" t="s">
        <v>351</v>
      </c>
      <c r="H45" s="18" t="s">
        <v>289</v>
      </c>
      <c r="I45" s="17" t="s">
        <v>418</v>
      </c>
      <c r="J45" s="17"/>
      <c r="K45" s="16" t="str">
        <f>"192,5"</f>
        <v>192,5</v>
      </c>
      <c r="L45" s="18" t="str">
        <f>"129,4851"</f>
        <v>129,4851</v>
      </c>
      <c r="M45" s="16" t="s">
        <v>18</v>
      </c>
    </row>
    <row r="47" spans="1:12" ht="15">
      <c r="A47" s="52" t="s">
        <v>45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3" ht="12.75">
      <c r="A48" s="10" t="s">
        <v>434</v>
      </c>
      <c r="B48" s="10" t="s">
        <v>435</v>
      </c>
      <c r="C48" s="10" t="s">
        <v>436</v>
      </c>
      <c r="D48" s="10" t="str">
        <f>"0,6327"</f>
        <v>0,6327</v>
      </c>
      <c r="E48" s="10" t="s">
        <v>15</v>
      </c>
      <c r="F48" s="10" t="s">
        <v>23</v>
      </c>
      <c r="G48" s="12" t="s">
        <v>160</v>
      </c>
      <c r="H48" s="12" t="s">
        <v>131</v>
      </c>
      <c r="I48" s="12" t="s">
        <v>267</v>
      </c>
      <c r="J48" s="11"/>
      <c r="K48" s="10" t="str">
        <f>"160,0"</f>
        <v>160,0</v>
      </c>
      <c r="L48" s="12" t="str">
        <f>"114,3831"</f>
        <v>114,3831</v>
      </c>
      <c r="M48" s="10" t="s">
        <v>18</v>
      </c>
    </row>
    <row r="49" spans="1:13" ht="12.75">
      <c r="A49" s="13" t="s">
        <v>437</v>
      </c>
      <c r="B49" s="13" t="s">
        <v>438</v>
      </c>
      <c r="C49" s="13" t="s">
        <v>439</v>
      </c>
      <c r="D49" s="13" t="str">
        <f>"0,6451"</f>
        <v>0,6451</v>
      </c>
      <c r="E49" s="13" t="s">
        <v>15</v>
      </c>
      <c r="F49" s="13" t="s">
        <v>440</v>
      </c>
      <c r="G49" s="15" t="s">
        <v>441</v>
      </c>
      <c r="H49" s="15" t="s">
        <v>418</v>
      </c>
      <c r="I49" s="14" t="s">
        <v>442</v>
      </c>
      <c r="J49" s="14"/>
      <c r="K49" s="13" t="str">
        <f>"205,0"</f>
        <v>205,0</v>
      </c>
      <c r="L49" s="15" t="str">
        <f>"140,1802"</f>
        <v>140,1802</v>
      </c>
      <c r="M49" s="13" t="s">
        <v>18</v>
      </c>
    </row>
    <row r="50" spans="1:13" ht="12.75">
      <c r="A50" s="13" t="s">
        <v>443</v>
      </c>
      <c r="B50" s="13" t="s">
        <v>46</v>
      </c>
      <c r="C50" s="13" t="s">
        <v>47</v>
      </c>
      <c r="D50" s="13" t="str">
        <f>"0,6219"</f>
        <v>0,6219</v>
      </c>
      <c r="E50" s="13" t="s">
        <v>15</v>
      </c>
      <c r="F50" s="13" t="s">
        <v>23</v>
      </c>
      <c r="G50" s="15" t="s">
        <v>136</v>
      </c>
      <c r="H50" s="15" t="s">
        <v>132</v>
      </c>
      <c r="I50" s="15" t="s">
        <v>290</v>
      </c>
      <c r="J50" s="14"/>
      <c r="K50" s="13" t="str">
        <f>"165,0"</f>
        <v>165,0</v>
      </c>
      <c r="L50" s="15" t="str">
        <f>"106,7180"</f>
        <v>106,7180</v>
      </c>
      <c r="M50" s="13" t="s">
        <v>18</v>
      </c>
    </row>
    <row r="51" spans="1:13" ht="12.75">
      <c r="A51" s="13" t="s">
        <v>444</v>
      </c>
      <c r="B51" s="13" t="s">
        <v>445</v>
      </c>
      <c r="C51" s="13" t="s">
        <v>446</v>
      </c>
      <c r="D51" s="13" t="str">
        <f>"0,6224"</f>
        <v>0,6224</v>
      </c>
      <c r="E51" s="13" t="s">
        <v>15</v>
      </c>
      <c r="F51" s="13" t="s">
        <v>23</v>
      </c>
      <c r="G51" s="15" t="s">
        <v>290</v>
      </c>
      <c r="H51" s="15" t="s">
        <v>447</v>
      </c>
      <c r="I51" s="14" t="s">
        <v>441</v>
      </c>
      <c r="J51" s="14"/>
      <c r="K51" s="13" t="str">
        <f>"175,0"</f>
        <v>175,0</v>
      </c>
      <c r="L51" s="15" t="str">
        <f>"112,1876"</f>
        <v>112,1876</v>
      </c>
      <c r="M51" s="13" t="s">
        <v>18</v>
      </c>
    </row>
    <row r="52" spans="1:13" ht="12.75">
      <c r="A52" s="13" t="s">
        <v>448</v>
      </c>
      <c r="B52" s="13" t="s">
        <v>449</v>
      </c>
      <c r="C52" s="13" t="s">
        <v>450</v>
      </c>
      <c r="D52" s="13" t="str">
        <f>"0,6203"</f>
        <v>0,6203</v>
      </c>
      <c r="E52" s="13" t="s">
        <v>15</v>
      </c>
      <c r="F52" s="13" t="s">
        <v>23</v>
      </c>
      <c r="G52" s="15" t="s">
        <v>262</v>
      </c>
      <c r="H52" s="14" t="s">
        <v>351</v>
      </c>
      <c r="I52" s="14" t="s">
        <v>351</v>
      </c>
      <c r="J52" s="14"/>
      <c r="K52" s="13" t="str">
        <f>"170,0"</f>
        <v>170,0</v>
      </c>
      <c r="L52" s="15" t="str">
        <f>"107,5600"</f>
        <v>107,5600</v>
      </c>
      <c r="M52" s="13" t="s">
        <v>18</v>
      </c>
    </row>
    <row r="53" spans="1:13" ht="12.75">
      <c r="A53" s="13" t="s">
        <v>451</v>
      </c>
      <c r="B53" s="13" t="s">
        <v>452</v>
      </c>
      <c r="C53" s="13" t="s">
        <v>453</v>
      </c>
      <c r="D53" s="13" t="str">
        <f>"0,6394"</f>
        <v>0,6394</v>
      </c>
      <c r="E53" s="13" t="s">
        <v>15</v>
      </c>
      <c r="F53" s="13" t="s">
        <v>454</v>
      </c>
      <c r="G53" s="15" t="s">
        <v>418</v>
      </c>
      <c r="H53" s="15" t="s">
        <v>442</v>
      </c>
      <c r="I53" s="15" t="s">
        <v>368</v>
      </c>
      <c r="J53" s="14"/>
      <c r="K53" s="13" t="str">
        <f>"222,5"</f>
        <v>222,5</v>
      </c>
      <c r="L53" s="15" t="str">
        <f>"142,2665"</f>
        <v>142,2665</v>
      </c>
      <c r="M53" s="13" t="s">
        <v>18</v>
      </c>
    </row>
    <row r="54" spans="1:13" ht="12.75">
      <c r="A54" s="13" t="s">
        <v>455</v>
      </c>
      <c r="B54" s="13" t="s">
        <v>52</v>
      </c>
      <c r="C54" s="13" t="s">
        <v>53</v>
      </c>
      <c r="D54" s="13" t="str">
        <f>"0,6209"</f>
        <v>0,6209</v>
      </c>
      <c r="E54" s="13" t="s">
        <v>15</v>
      </c>
      <c r="F54" s="13" t="s">
        <v>54</v>
      </c>
      <c r="G54" s="15" t="s">
        <v>351</v>
      </c>
      <c r="H54" s="15" t="s">
        <v>432</v>
      </c>
      <c r="I54" s="14" t="s">
        <v>418</v>
      </c>
      <c r="J54" s="14"/>
      <c r="K54" s="13" t="str">
        <f>"195,0"</f>
        <v>195,0</v>
      </c>
      <c r="L54" s="15" t="str">
        <f>"121,0755"</f>
        <v>121,0755</v>
      </c>
      <c r="M54" s="13" t="s">
        <v>18</v>
      </c>
    </row>
    <row r="55" spans="1:13" ht="12.75">
      <c r="A55" s="16" t="s">
        <v>249</v>
      </c>
      <c r="B55" s="16" t="s">
        <v>250</v>
      </c>
      <c r="C55" s="16" t="s">
        <v>251</v>
      </c>
      <c r="D55" s="16" t="str">
        <f>"0,6373"</f>
        <v>0,6373</v>
      </c>
      <c r="E55" s="16" t="s">
        <v>15</v>
      </c>
      <c r="F55" s="16" t="s">
        <v>23</v>
      </c>
      <c r="G55" s="18" t="s">
        <v>131</v>
      </c>
      <c r="H55" s="17" t="s">
        <v>290</v>
      </c>
      <c r="I55" s="18" t="s">
        <v>447</v>
      </c>
      <c r="J55" s="17"/>
      <c r="K55" s="16" t="str">
        <f>"175,0"</f>
        <v>175,0</v>
      </c>
      <c r="L55" s="18" t="str">
        <f>"111,5275"</f>
        <v>111,5275</v>
      </c>
      <c r="M55" s="16" t="s">
        <v>18</v>
      </c>
    </row>
    <row r="57" spans="1:12" ht="15">
      <c r="A57" s="52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3" ht="12.75">
      <c r="A58" s="10" t="s">
        <v>456</v>
      </c>
      <c r="B58" s="10" t="s">
        <v>457</v>
      </c>
      <c r="C58" s="10" t="s">
        <v>458</v>
      </c>
      <c r="D58" s="10" t="str">
        <f>"0,5853"</f>
        <v>0,5853</v>
      </c>
      <c r="E58" s="10" t="s">
        <v>15</v>
      </c>
      <c r="F58" s="10" t="s">
        <v>459</v>
      </c>
      <c r="G58" s="12" t="s">
        <v>418</v>
      </c>
      <c r="H58" s="12" t="s">
        <v>367</v>
      </c>
      <c r="I58" s="11" t="s">
        <v>460</v>
      </c>
      <c r="J58" s="11"/>
      <c r="K58" s="10" t="str">
        <f>"215,0"</f>
        <v>215,0</v>
      </c>
      <c r="L58" s="12" t="str">
        <f>"128,3563"</f>
        <v>128,3563</v>
      </c>
      <c r="M58" s="10" t="s">
        <v>18</v>
      </c>
    </row>
    <row r="59" spans="1:13" ht="12.75">
      <c r="A59" s="13" t="s">
        <v>461</v>
      </c>
      <c r="B59" s="13" t="s">
        <v>61</v>
      </c>
      <c r="C59" s="13" t="s">
        <v>62</v>
      </c>
      <c r="D59" s="13" t="str">
        <f>"0,6022"</f>
        <v>0,6022</v>
      </c>
      <c r="E59" s="13" t="s">
        <v>15</v>
      </c>
      <c r="F59" s="13" t="s">
        <v>23</v>
      </c>
      <c r="G59" s="15" t="s">
        <v>288</v>
      </c>
      <c r="H59" s="15" t="s">
        <v>462</v>
      </c>
      <c r="I59" s="15" t="s">
        <v>424</v>
      </c>
      <c r="J59" s="14"/>
      <c r="K59" s="13" t="str">
        <f>"212,5"</f>
        <v>212,5</v>
      </c>
      <c r="L59" s="15" t="str">
        <f>"130,5268"</f>
        <v>130,5268</v>
      </c>
      <c r="M59" s="13" t="s">
        <v>18</v>
      </c>
    </row>
    <row r="60" spans="1:13" ht="12.75">
      <c r="A60" s="13" t="s">
        <v>463</v>
      </c>
      <c r="B60" s="13" t="s">
        <v>464</v>
      </c>
      <c r="C60" s="13" t="s">
        <v>465</v>
      </c>
      <c r="D60" s="13" t="str">
        <f>"0,6018"</f>
        <v>0,6018</v>
      </c>
      <c r="E60" s="13" t="s">
        <v>15</v>
      </c>
      <c r="F60" s="13" t="s">
        <v>23</v>
      </c>
      <c r="G60" s="15" t="s">
        <v>466</v>
      </c>
      <c r="H60" s="14" t="s">
        <v>467</v>
      </c>
      <c r="I60" s="14" t="s">
        <v>467</v>
      </c>
      <c r="J60" s="14"/>
      <c r="K60" s="13" t="str">
        <f>"260,0"</f>
        <v>260,0</v>
      </c>
      <c r="L60" s="15" t="str">
        <f>"156,4680"</f>
        <v>156,4680</v>
      </c>
      <c r="M60" s="13" t="s">
        <v>18</v>
      </c>
    </row>
    <row r="61" spans="1:13" ht="12.75">
      <c r="A61" s="13" t="s">
        <v>468</v>
      </c>
      <c r="B61" s="13" t="s">
        <v>275</v>
      </c>
      <c r="C61" s="13" t="s">
        <v>276</v>
      </c>
      <c r="D61" s="13" t="str">
        <f>"0,6155"</f>
        <v>0,6155</v>
      </c>
      <c r="E61" s="13" t="s">
        <v>15</v>
      </c>
      <c r="F61" s="13" t="s">
        <v>23</v>
      </c>
      <c r="G61" s="15" t="s">
        <v>329</v>
      </c>
      <c r="H61" s="15" t="s">
        <v>325</v>
      </c>
      <c r="I61" s="15" t="s">
        <v>469</v>
      </c>
      <c r="J61" s="14"/>
      <c r="K61" s="13" t="str">
        <f>"255,0"</f>
        <v>255,0</v>
      </c>
      <c r="L61" s="15" t="str">
        <f>"156,9398"</f>
        <v>156,9398</v>
      </c>
      <c r="M61" s="13" t="s">
        <v>18</v>
      </c>
    </row>
    <row r="62" spans="1:13" ht="12.75">
      <c r="A62" s="13" t="s">
        <v>470</v>
      </c>
      <c r="B62" s="13" t="s">
        <v>471</v>
      </c>
      <c r="C62" s="13" t="s">
        <v>472</v>
      </c>
      <c r="D62" s="13" t="str">
        <f>"0,6074"</f>
        <v>0,6074</v>
      </c>
      <c r="E62" s="13" t="s">
        <v>15</v>
      </c>
      <c r="F62" s="13" t="s">
        <v>23</v>
      </c>
      <c r="G62" s="15" t="s">
        <v>473</v>
      </c>
      <c r="H62" s="15" t="s">
        <v>323</v>
      </c>
      <c r="I62" s="14" t="s">
        <v>474</v>
      </c>
      <c r="J62" s="14"/>
      <c r="K62" s="13" t="str">
        <f>"220,0"</f>
        <v>220,0</v>
      </c>
      <c r="L62" s="15" t="str">
        <f>"133,6280"</f>
        <v>133,6280</v>
      </c>
      <c r="M62" s="13" t="s">
        <v>18</v>
      </c>
    </row>
    <row r="63" spans="1:13" ht="12.75">
      <c r="A63" s="13" t="s">
        <v>475</v>
      </c>
      <c r="B63" s="13" t="s">
        <v>476</v>
      </c>
      <c r="C63" s="13" t="s">
        <v>477</v>
      </c>
      <c r="D63" s="13" t="str">
        <f>"0,5907"</f>
        <v>0,5907</v>
      </c>
      <c r="E63" s="13" t="s">
        <v>15</v>
      </c>
      <c r="F63" s="13" t="s">
        <v>23</v>
      </c>
      <c r="G63" s="15" t="s">
        <v>351</v>
      </c>
      <c r="H63" s="15" t="s">
        <v>462</v>
      </c>
      <c r="I63" s="14"/>
      <c r="J63" s="14"/>
      <c r="K63" s="13" t="str">
        <f>"197,5"</f>
        <v>197,5</v>
      </c>
      <c r="L63" s="15" t="str">
        <f>"116,6731"</f>
        <v>116,6731</v>
      </c>
      <c r="M63" s="13" t="s">
        <v>18</v>
      </c>
    </row>
    <row r="64" spans="1:13" ht="12.75">
      <c r="A64" s="16" t="s">
        <v>478</v>
      </c>
      <c r="B64" s="16" t="s">
        <v>269</v>
      </c>
      <c r="C64" s="16" t="s">
        <v>270</v>
      </c>
      <c r="D64" s="16" t="str">
        <f>"0,6093"</f>
        <v>0,6093</v>
      </c>
      <c r="E64" s="16" t="s">
        <v>15</v>
      </c>
      <c r="F64" s="16" t="s">
        <v>23</v>
      </c>
      <c r="G64" s="17" t="s">
        <v>417</v>
      </c>
      <c r="H64" s="17"/>
      <c r="I64" s="17"/>
      <c r="J64" s="17"/>
      <c r="K64" s="16" t="str">
        <f>"0.00"</f>
        <v>0.00</v>
      </c>
      <c r="L64" s="18" t="str">
        <f>"0,0000"</f>
        <v>0,0000</v>
      </c>
      <c r="M64" s="16" t="s">
        <v>18</v>
      </c>
    </row>
    <row r="66" spans="1:12" ht="15">
      <c r="A66" s="52" t="s">
        <v>70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13" ht="12.75">
      <c r="A67" s="10" t="s">
        <v>479</v>
      </c>
      <c r="B67" s="10" t="s">
        <v>480</v>
      </c>
      <c r="C67" s="10" t="s">
        <v>481</v>
      </c>
      <c r="D67" s="10" t="str">
        <f>"0,5575"</f>
        <v>0,5575</v>
      </c>
      <c r="E67" s="10" t="s">
        <v>15</v>
      </c>
      <c r="F67" s="10" t="s">
        <v>23</v>
      </c>
      <c r="G67" s="12" t="s">
        <v>482</v>
      </c>
      <c r="H67" s="11" t="s">
        <v>483</v>
      </c>
      <c r="I67" s="11"/>
      <c r="J67" s="11"/>
      <c r="K67" s="10" t="str">
        <f>"280,0"</f>
        <v>280,0</v>
      </c>
      <c r="L67" s="12" t="str">
        <f>"156,1000"</f>
        <v>156,1000</v>
      </c>
      <c r="M67" s="10" t="s">
        <v>18</v>
      </c>
    </row>
    <row r="68" spans="1:13" ht="12.75">
      <c r="A68" s="13" t="s">
        <v>484</v>
      </c>
      <c r="B68" s="13" t="s">
        <v>485</v>
      </c>
      <c r="C68" s="13" t="s">
        <v>303</v>
      </c>
      <c r="D68" s="13" t="str">
        <f>"0,5678"</f>
        <v>0,5678</v>
      </c>
      <c r="E68" s="13" t="s">
        <v>15</v>
      </c>
      <c r="F68" s="13" t="s">
        <v>23</v>
      </c>
      <c r="G68" s="15" t="s">
        <v>486</v>
      </c>
      <c r="H68" s="15" t="s">
        <v>418</v>
      </c>
      <c r="I68" s="14" t="s">
        <v>324</v>
      </c>
      <c r="J68" s="14"/>
      <c r="K68" s="13" t="str">
        <f>"205,0"</f>
        <v>205,0</v>
      </c>
      <c r="L68" s="15" t="str">
        <f>"116,3990"</f>
        <v>116,3990</v>
      </c>
      <c r="M68" s="13" t="s">
        <v>18</v>
      </c>
    </row>
    <row r="69" spans="1:13" ht="12.75">
      <c r="A69" s="13" t="s">
        <v>283</v>
      </c>
      <c r="B69" s="13" t="s">
        <v>284</v>
      </c>
      <c r="C69" s="13" t="s">
        <v>285</v>
      </c>
      <c r="D69" s="13" t="str">
        <f>"0,5549"</f>
        <v>0,5549</v>
      </c>
      <c r="E69" s="13" t="s">
        <v>15</v>
      </c>
      <c r="F69" s="13" t="s">
        <v>286</v>
      </c>
      <c r="G69" s="15" t="s">
        <v>467</v>
      </c>
      <c r="H69" s="15" t="s">
        <v>487</v>
      </c>
      <c r="I69" s="15" t="s">
        <v>488</v>
      </c>
      <c r="J69" s="14"/>
      <c r="K69" s="13" t="str">
        <f>"305,0"</f>
        <v>305,0</v>
      </c>
      <c r="L69" s="15" t="str">
        <f>"169,2445"</f>
        <v>169,2445</v>
      </c>
      <c r="M69" s="13" t="s">
        <v>18</v>
      </c>
    </row>
    <row r="70" spans="1:13" ht="12.75">
      <c r="A70" s="16" t="s">
        <v>489</v>
      </c>
      <c r="B70" s="16" t="s">
        <v>490</v>
      </c>
      <c r="C70" s="16" t="s">
        <v>491</v>
      </c>
      <c r="D70" s="16" t="str">
        <f>"0,5710"</f>
        <v>0,5710</v>
      </c>
      <c r="E70" s="16" t="s">
        <v>15</v>
      </c>
      <c r="F70" s="16" t="s">
        <v>23</v>
      </c>
      <c r="G70" s="18" t="s">
        <v>418</v>
      </c>
      <c r="H70" s="18" t="s">
        <v>324</v>
      </c>
      <c r="I70" s="18" t="s">
        <v>466</v>
      </c>
      <c r="J70" s="17"/>
      <c r="K70" s="16" t="str">
        <f>"260,0"</f>
        <v>260,0</v>
      </c>
      <c r="L70" s="18" t="str">
        <f>"148,4600"</f>
        <v>148,4600</v>
      </c>
      <c r="M70" s="16" t="s">
        <v>18</v>
      </c>
    </row>
    <row r="72" spans="1:12" ht="15">
      <c r="A72" s="52" t="s">
        <v>85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13" ht="12.75">
      <c r="A73" s="10" t="s">
        <v>492</v>
      </c>
      <c r="B73" s="10" t="s">
        <v>493</v>
      </c>
      <c r="C73" s="10" t="s">
        <v>494</v>
      </c>
      <c r="D73" s="10" t="str">
        <f>"0,5382"</f>
        <v>0,5382</v>
      </c>
      <c r="E73" s="10" t="s">
        <v>15</v>
      </c>
      <c r="F73" s="10" t="s">
        <v>23</v>
      </c>
      <c r="G73" s="12" t="s">
        <v>467</v>
      </c>
      <c r="H73" s="12" t="s">
        <v>495</v>
      </c>
      <c r="I73" s="12" t="s">
        <v>496</v>
      </c>
      <c r="J73" s="11"/>
      <c r="K73" s="10" t="str">
        <f>"282,5"</f>
        <v>282,5</v>
      </c>
      <c r="L73" s="12" t="str">
        <f>"155,0823"</f>
        <v>155,0823</v>
      </c>
      <c r="M73" s="10" t="s">
        <v>18</v>
      </c>
    </row>
    <row r="74" spans="1:13" ht="12.75">
      <c r="A74" s="13" t="s">
        <v>492</v>
      </c>
      <c r="B74" s="13" t="s">
        <v>497</v>
      </c>
      <c r="C74" s="13" t="s">
        <v>494</v>
      </c>
      <c r="D74" s="13" t="str">
        <f>"0,5382"</f>
        <v>0,5382</v>
      </c>
      <c r="E74" s="13" t="s">
        <v>15</v>
      </c>
      <c r="F74" s="13" t="s">
        <v>23</v>
      </c>
      <c r="G74" s="15" t="s">
        <v>467</v>
      </c>
      <c r="H74" s="15" t="s">
        <v>495</v>
      </c>
      <c r="I74" s="15" t="s">
        <v>496</v>
      </c>
      <c r="J74" s="14"/>
      <c r="K74" s="13" t="str">
        <f>"282,5"</f>
        <v>282,5</v>
      </c>
      <c r="L74" s="15" t="str">
        <f>"152,0415"</f>
        <v>152,0415</v>
      </c>
      <c r="M74" s="13" t="s">
        <v>18</v>
      </c>
    </row>
    <row r="75" spans="1:13" ht="12.75">
      <c r="A75" s="16" t="s">
        <v>498</v>
      </c>
      <c r="B75" s="16" t="s">
        <v>499</v>
      </c>
      <c r="C75" s="16" t="s">
        <v>500</v>
      </c>
      <c r="D75" s="16" t="str">
        <f>"0,5502"</f>
        <v>0,5502</v>
      </c>
      <c r="E75" s="16" t="s">
        <v>15</v>
      </c>
      <c r="F75" s="16" t="s">
        <v>23</v>
      </c>
      <c r="G75" s="18" t="s">
        <v>288</v>
      </c>
      <c r="H75" s="17" t="s">
        <v>417</v>
      </c>
      <c r="I75" s="18" t="s">
        <v>417</v>
      </c>
      <c r="J75" s="17"/>
      <c r="K75" s="16" t="str">
        <f>"200,0"</f>
        <v>200,0</v>
      </c>
      <c r="L75" s="18" t="str">
        <f>"110,0400"</f>
        <v>110,0400</v>
      </c>
      <c r="M75" s="16" t="s">
        <v>18</v>
      </c>
    </row>
    <row r="77" spans="1:12" ht="15">
      <c r="A77" s="52" t="s">
        <v>120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3" ht="12.75">
      <c r="A78" s="6" t="s">
        <v>501</v>
      </c>
      <c r="B78" s="6" t="s">
        <v>502</v>
      </c>
      <c r="C78" s="6" t="s">
        <v>503</v>
      </c>
      <c r="D78" s="6" t="str">
        <f>"0,5246"</f>
        <v>0,5246</v>
      </c>
      <c r="E78" s="6" t="s">
        <v>15</v>
      </c>
      <c r="F78" s="6" t="s">
        <v>23</v>
      </c>
      <c r="G78" s="8" t="s">
        <v>329</v>
      </c>
      <c r="H78" s="8" t="s">
        <v>504</v>
      </c>
      <c r="I78" s="8" t="s">
        <v>505</v>
      </c>
      <c r="J78" s="7"/>
      <c r="K78" s="6" t="str">
        <f>"250,0"</f>
        <v>250,0</v>
      </c>
      <c r="L78" s="8" t="str">
        <f>"131,1500"</f>
        <v>131,1500</v>
      </c>
      <c r="M78" s="6" t="s">
        <v>18</v>
      </c>
    </row>
    <row r="80" spans="1:12" ht="15">
      <c r="A80" s="52" t="s">
        <v>316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3" ht="12.75">
      <c r="A81" s="6" t="s">
        <v>317</v>
      </c>
      <c r="B81" s="6" t="s">
        <v>318</v>
      </c>
      <c r="C81" s="6" t="s">
        <v>319</v>
      </c>
      <c r="D81" s="6" t="str">
        <f>"0,5047"</f>
        <v>0,5047</v>
      </c>
      <c r="E81" s="6" t="s">
        <v>15</v>
      </c>
      <c r="F81" s="6" t="s">
        <v>23</v>
      </c>
      <c r="G81" s="8" t="s">
        <v>323</v>
      </c>
      <c r="H81" s="8" t="s">
        <v>324</v>
      </c>
      <c r="I81" s="8" t="s">
        <v>325</v>
      </c>
      <c r="J81" s="7"/>
      <c r="K81" s="6" t="str">
        <f>"245,0"</f>
        <v>245,0</v>
      </c>
      <c r="L81" s="8" t="str">
        <f>"124,8905"</f>
        <v>124,8905</v>
      </c>
      <c r="M81" s="6" t="s">
        <v>18</v>
      </c>
    </row>
    <row r="83" spans="5:6" ht="15">
      <c r="E83" s="19" t="s">
        <v>90</v>
      </c>
      <c r="F83" s="32" t="s">
        <v>588</v>
      </c>
    </row>
    <row r="84" spans="5:6" ht="15">
      <c r="E84" s="19" t="s">
        <v>91</v>
      </c>
      <c r="F84" s="32" t="s">
        <v>589</v>
      </c>
    </row>
    <row r="85" spans="5:6" ht="15">
      <c r="E85" s="19" t="s">
        <v>92</v>
      </c>
      <c r="F85" s="32" t="s">
        <v>590</v>
      </c>
    </row>
    <row r="86" spans="5:6" ht="15">
      <c r="E86" s="19" t="s">
        <v>93</v>
      </c>
      <c r="F86" s="32" t="s">
        <v>591</v>
      </c>
    </row>
    <row r="87" spans="5:6" ht="15">
      <c r="E87" s="19" t="s">
        <v>93</v>
      </c>
      <c r="F87" s="32" t="s">
        <v>597</v>
      </c>
    </row>
    <row r="89" ht="18">
      <c r="A89" s="20" t="s">
        <v>94</v>
      </c>
    </row>
    <row r="90" ht="15">
      <c r="A90" s="21" t="s">
        <v>95</v>
      </c>
    </row>
    <row r="91" spans="1:2" ht="14.25">
      <c r="A91" s="22"/>
      <c r="B91" s="23" t="s">
        <v>108</v>
      </c>
    </row>
    <row r="92" spans="1:5" ht="15">
      <c r="A92" s="24" t="s">
        <v>96</v>
      </c>
      <c r="B92" s="24" t="s">
        <v>97</v>
      </c>
      <c r="C92" s="24" t="s">
        <v>98</v>
      </c>
      <c r="D92" s="24" t="s">
        <v>99</v>
      </c>
      <c r="E92" s="24" t="s">
        <v>100</v>
      </c>
    </row>
    <row r="93" spans="1:5" ht="12.75">
      <c r="A93" s="34" t="s">
        <v>384</v>
      </c>
      <c r="B93" s="4" t="s">
        <v>108</v>
      </c>
      <c r="C93" s="4" t="s">
        <v>110</v>
      </c>
      <c r="D93" s="4" t="s">
        <v>136</v>
      </c>
      <c r="E93" s="25" t="s">
        <v>506</v>
      </c>
    </row>
    <row r="94" spans="1:5" ht="12.75">
      <c r="A94" s="34" t="s">
        <v>598</v>
      </c>
      <c r="B94" s="4" t="s">
        <v>108</v>
      </c>
      <c r="C94" s="4" t="s">
        <v>103</v>
      </c>
      <c r="D94" s="4" t="s">
        <v>290</v>
      </c>
      <c r="E94" s="25" t="s">
        <v>507</v>
      </c>
    </row>
    <row r="95" spans="1:5" ht="12.75">
      <c r="A95" s="34" t="s">
        <v>599</v>
      </c>
      <c r="B95" s="4" t="s">
        <v>108</v>
      </c>
      <c r="C95" s="4" t="s">
        <v>101</v>
      </c>
      <c r="D95" s="4" t="s">
        <v>142</v>
      </c>
      <c r="E95" s="25" t="s">
        <v>508</v>
      </c>
    </row>
    <row r="97" spans="1:2" ht="15">
      <c r="A97" s="21" t="s">
        <v>102</v>
      </c>
      <c r="B97" s="21"/>
    </row>
    <row r="98" spans="1:2" ht="14.25">
      <c r="A98" s="22"/>
      <c r="B98" s="23" t="s">
        <v>106</v>
      </c>
    </row>
    <row r="99" spans="1:5" ht="15">
      <c r="A99" s="24" t="s">
        <v>96</v>
      </c>
      <c r="B99" s="24" t="s">
        <v>97</v>
      </c>
      <c r="C99" s="24" t="s">
        <v>98</v>
      </c>
      <c r="D99" s="24" t="s">
        <v>99</v>
      </c>
      <c r="E99" s="24" t="s">
        <v>100</v>
      </c>
    </row>
    <row r="100" spans="1:5" ht="12.75">
      <c r="A100" s="34" t="s">
        <v>414</v>
      </c>
      <c r="B100" s="32" t="s">
        <v>106</v>
      </c>
      <c r="C100" s="4" t="s">
        <v>334</v>
      </c>
      <c r="D100" s="4" t="s">
        <v>418</v>
      </c>
      <c r="E100" s="25" t="s">
        <v>509</v>
      </c>
    </row>
    <row r="103" spans="1:2" ht="14.25">
      <c r="A103" s="22"/>
      <c r="B103" s="23" t="s">
        <v>108</v>
      </c>
    </row>
    <row r="104" spans="1:5" ht="15">
      <c r="A104" s="24" t="s">
        <v>96</v>
      </c>
      <c r="B104" s="24" t="s">
        <v>97</v>
      </c>
      <c r="C104" s="24" t="s">
        <v>98</v>
      </c>
      <c r="D104" s="24" t="s">
        <v>99</v>
      </c>
      <c r="E104" s="24" t="s">
        <v>100</v>
      </c>
    </row>
    <row r="105" spans="1:5" ht="12.75">
      <c r="A105" s="34" t="s">
        <v>283</v>
      </c>
      <c r="B105" s="4" t="s">
        <v>108</v>
      </c>
      <c r="C105" s="4" t="s">
        <v>109</v>
      </c>
      <c r="D105" s="4" t="s">
        <v>488</v>
      </c>
      <c r="E105" s="25" t="s">
        <v>510</v>
      </c>
    </row>
    <row r="106" spans="1:5" ht="12.75">
      <c r="A106" s="34" t="s">
        <v>468</v>
      </c>
      <c r="B106" s="4" t="s">
        <v>108</v>
      </c>
      <c r="C106" s="4" t="s">
        <v>104</v>
      </c>
      <c r="D106" s="4" t="s">
        <v>469</v>
      </c>
      <c r="E106" s="25" t="s">
        <v>511</v>
      </c>
    </row>
    <row r="107" spans="1:5" ht="12.75">
      <c r="A107" s="34" t="s">
        <v>600</v>
      </c>
      <c r="B107" s="4" t="s">
        <v>108</v>
      </c>
      <c r="C107" s="4" t="s">
        <v>104</v>
      </c>
      <c r="D107" s="4" t="s">
        <v>466</v>
      </c>
      <c r="E107" s="25" t="s">
        <v>512</v>
      </c>
    </row>
  </sheetData>
  <sheetProtection/>
  <mergeCells count="27">
    <mergeCell ref="A1:M2"/>
    <mergeCell ref="A3:A4"/>
    <mergeCell ref="B3:B4"/>
    <mergeCell ref="C3:C4"/>
    <mergeCell ref="D3:D4"/>
    <mergeCell ref="E3:E4"/>
    <mergeCell ref="F3:F4"/>
    <mergeCell ref="G3:J3"/>
    <mergeCell ref="A36:L36"/>
    <mergeCell ref="K3:K4"/>
    <mergeCell ref="L3:L4"/>
    <mergeCell ref="M3:M4"/>
    <mergeCell ref="A5:L5"/>
    <mergeCell ref="A9:L9"/>
    <mergeCell ref="A12:L12"/>
    <mergeCell ref="A16:L16"/>
    <mergeCell ref="A20:L20"/>
    <mergeCell ref="A26:L26"/>
    <mergeCell ref="A29:L29"/>
    <mergeCell ref="A32:L32"/>
    <mergeCell ref="A80:L80"/>
    <mergeCell ref="A40:L40"/>
    <mergeCell ref="A47:L47"/>
    <mergeCell ref="A57:L57"/>
    <mergeCell ref="A66:L66"/>
    <mergeCell ref="A72:L72"/>
    <mergeCell ref="A77:L7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E19" sqref="E19:F23"/>
    </sheetView>
  </sheetViews>
  <sheetFormatPr defaultColWidth="9.1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0.875" style="4" bestFit="1" customWidth="1"/>
    <col min="7" max="7" width="4.625" style="3" bestFit="1" customWidth="1"/>
    <col min="8" max="8" width="10.375" style="28" bestFit="1" customWidth="1"/>
    <col min="9" max="9" width="8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8" t="s">
        <v>539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s="2" customFormat="1" ht="61.5" customHeight="1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s="1" customFormat="1" ht="12.75" customHeight="1">
      <c r="A3" s="64" t="s">
        <v>0</v>
      </c>
      <c r="B3" s="66" t="s">
        <v>5</v>
      </c>
      <c r="C3" s="66" t="s">
        <v>6</v>
      </c>
      <c r="D3" s="53" t="s">
        <v>540</v>
      </c>
      <c r="E3" s="53" t="s">
        <v>3</v>
      </c>
      <c r="F3" s="53" t="s">
        <v>7</v>
      </c>
      <c r="G3" s="53" t="s">
        <v>531</v>
      </c>
      <c r="H3" s="53"/>
      <c r="I3" s="53" t="s">
        <v>534</v>
      </c>
      <c r="J3" s="53" t="s">
        <v>2</v>
      </c>
      <c r="K3" s="55" t="s">
        <v>1</v>
      </c>
    </row>
    <row r="4" spans="1:11" s="1" customFormat="1" ht="21" customHeight="1" thickBot="1">
      <c r="A4" s="65"/>
      <c r="B4" s="54"/>
      <c r="C4" s="54"/>
      <c r="D4" s="54"/>
      <c r="E4" s="54"/>
      <c r="F4" s="54"/>
      <c r="G4" s="5" t="s">
        <v>532</v>
      </c>
      <c r="H4" s="26" t="s">
        <v>533</v>
      </c>
      <c r="I4" s="54"/>
      <c r="J4" s="54"/>
      <c r="K4" s="56"/>
    </row>
    <row r="5" spans="1:10" ht="15">
      <c r="A5" s="57" t="s">
        <v>596</v>
      </c>
      <c r="B5" s="57"/>
      <c r="C5" s="57"/>
      <c r="D5" s="57"/>
      <c r="E5" s="57"/>
      <c r="F5" s="57"/>
      <c r="G5" s="57"/>
      <c r="H5" s="57"/>
      <c r="I5" s="57"/>
      <c r="J5" s="57"/>
    </row>
    <row r="6" spans="1:11" ht="12.75">
      <c r="A6" s="6" t="s">
        <v>542</v>
      </c>
      <c r="B6" s="6" t="s">
        <v>543</v>
      </c>
      <c r="C6" s="6" t="s">
        <v>362</v>
      </c>
      <c r="D6" s="6" t="str">
        <f>"1,0000"</f>
        <v>1,0000</v>
      </c>
      <c r="E6" s="6" t="s">
        <v>15</v>
      </c>
      <c r="F6" s="6" t="s">
        <v>23</v>
      </c>
      <c r="G6" s="8" t="s">
        <v>74</v>
      </c>
      <c r="H6" s="27" t="s">
        <v>544</v>
      </c>
      <c r="I6" s="6" t="str">
        <f>"3150,0"</f>
        <v>3150,0</v>
      </c>
      <c r="J6" s="8" t="str">
        <f>"28,7671"</f>
        <v>28,7671</v>
      </c>
      <c r="K6" s="6" t="s">
        <v>18</v>
      </c>
    </row>
    <row r="8" spans="5:6" ht="15">
      <c r="E8" s="19" t="s">
        <v>90</v>
      </c>
      <c r="F8" s="32" t="s">
        <v>588</v>
      </c>
    </row>
    <row r="9" spans="5:6" ht="15">
      <c r="E9" s="19" t="s">
        <v>91</v>
      </c>
      <c r="F9" s="32" t="s">
        <v>589</v>
      </c>
    </row>
    <row r="10" spans="5:6" ht="15">
      <c r="E10" s="19" t="s">
        <v>92</v>
      </c>
      <c r="F10" s="32" t="s">
        <v>590</v>
      </c>
    </row>
    <row r="11" spans="5:6" ht="15">
      <c r="E11" s="19" t="s">
        <v>93</v>
      </c>
      <c r="F11" s="32" t="s">
        <v>591</v>
      </c>
    </row>
    <row r="12" spans="5:6" ht="15">
      <c r="E12" s="19" t="s">
        <v>93</v>
      </c>
      <c r="F12" s="32" t="s">
        <v>603</v>
      </c>
    </row>
    <row r="13" ht="15">
      <c r="E13" s="19"/>
    </row>
    <row r="14" ht="15">
      <c r="E14" s="19"/>
    </row>
    <row r="16" spans="2:11" ht="12.75">
      <c r="B16" s="3"/>
      <c r="C16" s="28"/>
      <c r="E16" s="3"/>
      <c r="H16" s="3"/>
      <c r="I16" s="3"/>
      <c r="K16" s="3"/>
    </row>
    <row r="17" spans="2:11" ht="12.75">
      <c r="B17" s="3"/>
      <c r="C17" s="28"/>
      <c r="E17" s="3"/>
      <c r="H17" s="3"/>
      <c r="I17" s="3"/>
      <c r="K17" s="3"/>
    </row>
    <row r="18" spans="2:11" ht="12.75">
      <c r="B18" s="3"/>
      <c r="C18" s="28"/>
      <c r="E18" s="3"/>
      <c r="H18" s="3"/>
      <c r="I18" s="3"/>
      <c r="K18" s="3"/>
    </row>
    <row r="19" spans="2:11" ht="12.75">
      <c r="B19" s="3"/>
      <c r="C19" s="28"/>
      <c r="E19" s="3"/>
      <c r="H19" s="3"/>
      <c r="I19" s="3"/>
      <c r="K19" s="3"/>
    </row>
    <row r="20" spans="2:11" ht="12.75">
      <c r="B20" s="3"/>
      <c r="C20" s="28"/>
      <c r="E20" s="3"/>
      <c r="H20" s="3"/>
      <c r="I20" s="3"/>
      <c r="K20" s="3"/>
    </row>
    <row r="21" spans="2:11" ht="12.75">
      <c r="B21" s="3"/>
      <c r="C21" s="28"/>
      <c r="E21" s="3"/>
      <c r="H21" s="3"/>
      <c r="I21" s="3"/>
      <c r="K21" s="3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E19" sqref="E19:F23"/>
    </sheetView>
  </sheetViews>
  <sheetFormatPr defaultColWidth="9.1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0.875" style="4" bestFit="1" customWidth="1"/>
    <col min="7" max="7" width="5.625" style="3" bestFit="1" customWidth="1"/>
    <col min="8" max="8" width="10.375" style="28" bestFit="1" customWidth="1"/>
    <col min="9" max="9" width="8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8" t="s">
        <v>535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s="2" customFormat="1" ht="61.5" customHeight="1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s="1" customFormat="1" ht="12.75" customHeight="1">
      <c r="A3" s="64" t="s">
        <v>0</v>
      </c>
      <c r="B3" s="66" t="s">
        <v>5</v>
      </c>
      <c r="C3" s="66" t="s">
        <v>6</v>
      </c>
      <c r="D3" s="53" t="s">
        <v>526</v>
      </c>
      <c r="E3" s="53" t="s">
        <v>3</v>
      </c>
      <c r="F3" s="53" t="s">
        <v>7</v>
      </c>
      <c r="G3" s="53" t="s">
        <v>531</v>
      </c>
      <c r="H3" s="53"/>
      <c r="I3" s="53" t="s">
        <v>534</v>
      </c>
      <c r="J3" s="53" t="s">
        <v>2</v>
      </c>
      <c r="K3" s="55" t="s">
        <v>1</v>
      </c>
    </row>
    <row r="4" spans="1:11" s="1" customFormat="1" ht="21" customHeight="1" thickBot="1">
      <c r="A4" s="65"/>
      <c r="B4" s="54"/>
      <c r="C4" s="54"/>
      <c r="D4" s="54"/>
      <c r="E4" s="54"/>
      <c r="F4" s="54"/>
      <c r="G4" s="5" t="s">
        <v>532</v>
      </c>
      <c r="H4" s="26" t="s">
        <v>533</v>
      </c>
      <c r="I4" s="54"/>
      <c r="J4" s="54"/>
      <c r="K4" s="56"/>
    </row>
    <row r="5" spans="1:10" ht="15">
      <c r="A5" s="57" t="s">
        <v>593</v>
      </c>
      <c r="B5" s="57"/>
      <c r="C5" s="57"/>
      <c r="D5" s="57"/>
      <c r="E5" s="57"/>
      <c r="F5" s="57"/>
      <c r="G5" s="57"/>
      <c r="H5" s="57"/>
      <c r="I5" s="57"/>
      <c r="J5" s="57"/>
    </row>
    <row r="6" spans="1:11" ht="12.75">
      <c r="A6" s="6" t="s">
        <v>536</v>
      </c>
      <c r="B6" s="6" t="s">
        <v>353</v>
      </c>
      <c r="C6" s="6" t="s">
        <v>354</v>
      </c>
      <c r="D6" s="6" t="str">
        <f>"0,6753"</f>
        <v>0,6753</v>
      </c>
      <c r="E6" s="6" t="s">
        <v>15</v>
      </c>
      <c r="F6" s="6" t="s">
        <v>23</v>
      </c>
      <c r="G6" s="8" t="s">
        <v>230</v>
      </c>
      <c r="H6" s="27" t="s">
        <v>537</v>
      </c>
      <c r="I6" s="6" t="str">
        <f>"2200,0"</f>
        <v>2200,0</v>
      </c>
      <c r="J6" s="8" t="str">
        <f>"1485,6600"</f>
        <v>1485,6600</v>
      </c>
      <c r="K6" s="6" t="s">
        <v>18</v>
      </c>
    </row>
    <row r="8" spans="1:10" ht="15">
      <c r="A8" s="52" t="s">
        <v>596</v>
      </c>
      <c r="B8" s="52"/>
      <c r="C8" s="52"/>
      <c r="D8" s="52"/>
      <c r="E8" s="52"/>
      <c r="F8" s="52"/>
      <c r="G8" s="52"/>
      <c r="H8" s="52"/>
      <c r="I8" s="52"/>
      <c r="J8" s="52"/>
    </row>
    <row r="9" spans="1:11" ht="12.75">
      <c r="A9" s="6" t="s">
        <v>116</v>
      </c>
      <c r="B9" s="6" t="s">
        <v>117</v>
      </c>
      <c r="C9" s="6" t="s">
        <v>118</v>
      </c>
      <c r="D9" s="6" t="str">
        <f>"0,6584"</f>
        <v>0,6584</v>
      </c>
      <c r="E9" s="6" t="s">
        <v>15</v>
      </c>
      <c r="F9" s="6" t="s">
        <v>23</v>
      </c>
      <c r="G9" s="8" t="s">
        <v>277</v>
      </c>
      <c r="H9" s="27" t="s">
        <v>538</v>
      </c>
      <c r="I9" s="6" t="str">
        <f>"1397,5"</f>
        <v>1397,5</v>
      </c>
      <c r="J9" s="8" t="str">
        <f>"920,1140"</f>
        <v>920,1140</v>
      </c>
      <c r="K9" s="6" t="s">
        <v>18</v>
      </c>
    </row>
    <row r="11" spans="5:6" ht="15">
      <c r="E11" s="19" t="s">
        <v>90</v>
      </c>
      <c r="F11" s="32" t="s">
        <v>588</v>
      </c>
    </row>
    <row r="12" spans="5:6" ht="15">
      <c r="E12" s="19" t="s">
        <v>91</v>
      </c>
      <c r="F12" s="32" t="s">
        <v>589</v>
      </c>
    </row>
    <row r="13" spans="5:6" ht="15">
      <c r="E13" s="19" t="s">
        <v>92</v>
      </c>
      <c r="F13" s="32" t="s">
        <v>590</v>
      </c>
    </row>
    <row r="14" spans="5:6" ht="15">
      <c r="E14" s="19" t="s">
        <v>93</v>
      </c>
      <c r="F14" s="32" t="s">
        <v>591</v>
      </c>
    </row>
    <row r="15" spans="5:6" ht="15">
      <c r="E15" s="19" t="s">
        <v>93</v>
      </c>
      <c r="F15" s="32" t="s">
        <v>592</v>
      </c>
    </row>
    <row r="16" ht="15">
      <c r="E16" s="19"/>
    </row>
    <row r="17" ht="15">
      <c r="E17" s="19"/>
    </row>
    <row r="18" spans="1:11" ht="12.75">
      <c r="A18" s="3"/>
      <c r="B18" s="28"/>
      <c r="D18" s="3"/>
      <c r="F18" s="3"/>
      <c r="H18" s="3"/>
      <c r="I18" s="3"/>
      <c r="K18" s="3"/>
    </row>
    <row r="19" spans="1:11" ht="12.75">
      <c r="A19" s="3"/>
      <c r="B19" s="28"/>
      <c r="D19" s="3"/>
      <c r="F19" s="3"/>
      <c r="H19" s="3"/>
      <c r="I19" s="3"/>
      <c r="K19" s="3"/>
    </row>
    <row r="20" spans="1:11" ht="12.75">
      <c r="A20" s="3"/>
      <c r="B20" s="28"/>
      <c r="D20" s="3"/>
      <c r="F20" s="3"/>
      <c r="H20" s="3"/>
      <c r="I20" s="3"/>
      <c r="K20" s="3"/>
    </row>
    <row r="21" spans="1:11" ht="12.75">
      <c r="A21" s="3"/>
      <c r="B21" s="28"/>
      <c r="D21" s="3"/>
      <c r="F21" s="3"/>
      <c r="H21" s="3"/>
      <c r="I21" s="3"/>
      <c r="K21" s="3"/>
    </row>
    <row r="22" spans="1:11" ht="12.75">
      <c r="A22" s="3"/>
      <c r="B22" s="28"/>
      <c r="D22" s="3"/>
      <c r="F22" s="3"/>
      <c r="H22" s="3"/>
      <c r="I22" s="3"/>
      <c r="K22" s="3"/>
    </row>
    <row r="23" spans="1:11" ht="12.75">
      <c r="A23" s="3"/>
      <c r="B23" s="28"/>
      <c r="D23" s="3"/>
      <c r="F23" s="3"/>
      <c r="H23" s="3"/>
      <c r="I23" s="3"/>
      <c r="K23" s="3"/>
    </row>
    <row r="24" spans="1:11" ht="12.75">
      <c r="A24" s="3"/>
      <c r="B24" s="28"/>
      <c r="D24" s="3"/>
      <c r="F24" s="3"/>
      <c r="H24" s="3"/>
      <c r="I24" s="3"/>
      <c r="K24" s="3"/>
    </row>
    <row r="25" spans="1:11" ht="12.75">
      <c r="A25" s="3"/>
      <c r="B25" s="28"/>
      <c r="D25" s="3"/>
      <c r="F25" s="3"/>
      <c r="H25" s="3"/>
      <c r="I25" s="3"/>
      <c r="K25" s="3"/>
    </row>
    <row r="26" spans="1:11" ht="12.75">
      <c r="A26" s="3"/>
      <c r="B26" s="28"/>
      <c r="D26" s="3"/>
      <c r="F26" s="3"/>
      <c r="H26" s="3"/>
      <c r="I26" s="3"/>
      <c r="K26" s="3"/>
    </row>
  </sheetData>
  <sheetProtection/>
  <mergeCells count="13"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E19" sqref="E19:F23"/>
    </sheetView>
  </sheetViews>
  <sheetFormatPr defaultColWidth="9.1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0.875" style="4" bestFit="1" customWidth="1"/>
    <col min="7" max="7" width="4.625" style="3" bestFit="1" customWidth="1"/>
    <col min="8" max="8" width="10.375" style="28" bestFit="1" customWidth="1"/>
    <col min="9" max="9" width="8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8" t="s">
        <v>525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s="2" customFormat="1" ht="61.5" customHeight="1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s="1" customFormat="1" ht="12.75" customHeight="1">
      <c r="A3" s="64" t="s">
        <v>0</v>
      </c>
      <c r="B3" s="66" t="s">
        <v>5</v>
      </c>
      <c r="C3" s="66" t="s">
        <v>6</v>
      </c>
      <c r="D3" s="53" t="s">
        <v>526</v>
      </c>
      <c r="E3" s="53" t="s">
        <v>3</v>
      </c>
      <c r="F3" s="53" t="s">
        <v>7</v>
      </c>
      <c r="G3" s="53" t="s">
        <v>531</v>
      </c>
      <c r="H3" s="53"/>
      <c r="I3" s="53" t="s">
        <v>534</v>
      </c>
      <c r="J3" s="53" t="s">
        <v>2</v>
      </c>
      <c r="K3" s="55" t="s">
        <v>1</v>
      </c>
    </row>
    <row r="4" spans="1:11" s="1" customFormat="1" ht="21" customHeight="1" thickBot="1">
      <c r="A4" s="65"/>
      <c r="B4" s="54"/>
      <c r="C4" s="54"/>
      <c r="D4" s="54"/>
      <c r="E4" s="54"/>
      <c r="F4" s="54"/>
      <c r="G4" s="5" t="s">
        <v>532</v>
      </c>
      <c r="H4" s="26" t="s">
        <v>533</v>
      </c>
      <c r="I4" s="54"/>
      <c r="J4" s="54"/>
      <c r="K4" s="56"/>
    </row>
    <row r="5" spans="1:10" ht="15">
      <c r="A5" s="57" t="s">
        <v>593</v>
      </c>
      <c r="B5" s="57"/>
      <c r="C5" s="57"/>
      <c r="D5" s="57"/>
      <c r="E5" s="57"/>
      <c r="F5" s="57"/>
      <c r="G5" s="57"/>
      <c r="H5" s="57"/>
      <c r="I5" s="57"/>
      <c r="J5" s="57"/>
    </row>
    <row r="6" spans="1:11" ht="12.75">
      <c r="A6" s="6" t="s">
        <v>527</v>
      </c>
      <c r="B6" s="6" t="s">
        <v>528</v>
      </c>
      <c r="C6" s="6" t="s">
        <v>519</v>
      </c>
      <c r="D6" s="6" t="str">
        <f>"0,7169"</f>
        <v>0,7169</v>
      </c>
      <c r="E6" s="6" t="s">
        <v>15</v>
      </c>
      <c r="F6" s="6" t="s">
        <v>23</v>
      </c>
      <c r="G6" s="8" t="s">
        <v>378</v>
      </c>
      <c r="H6" s="27" t="s">
        <v>529</v>
      </c>
      <c r="I6" s="6" t="str">
        <f>"1710,0"</f>
        <v>1710,0</v>
      </c>
      <c r="J6" s="8" t="str">
        <f>"1225,8990"</f>
        <v>1225,8990</v>
      </c>
      <c r="K6" s="6" t="s">
        <v>18</v>
      </c>
    </row>
    <row r="7" spans="1:11" ht="12.75">
      <c r="A7" s="33" t="s">
        <v>594</v>
      </c>
      <c r="B7" s="33" t="s">
        <v>595</v>
      </c>
      <c r="C7" s="6" t="s">
        <v>303</v>
      </c>
      <c r="D7" s="6" t="str">
        <f>"0,6967"</f>
        <v>0,6967</v>
      </c>
      <c r="E7" s="6" t="s">
        <v>15</v>
      </c>
      <c r="F7" s="6" t="s">
        <v>23</v>
      </c>
      <c r="G7" s="8" t="s">
        <v>226</v>
      </c>
      <c r="H7" s="27" t="s">
        <v>530</v>
      </c>
      <c r="I7" s="6" t="str">
        <f>"1425,0"</f>
        <v>1425,0</v>
      </c>
      <c r="J7" s="8" t="str">
        <f>"992,7975"</f>
        <v>992,7975</v>
      </c>
      <c r="K7" s="6" t="s">
        <v>18</v>
      </c>
    </row>
    <row r="9" spans="5:6" ht="15">
      <c r="E9" s="19" t="s">
        <v>90</v>
      </c>
      <c r="F9" s="32" t="s">
        <v>588</v>
      </c>
    </row>
    <row r="10" spans="5:6" ht="15">
      <c r="E10" s="19" t="s">
        <v>91</v>
      </c>
      <c r="F10" s="32" t="s">
        <v>589</v>
      </c>
    </row>
    <row r="11" spans="5:6" ht="15">
      <c r="E11" s="19" t="s">
        <v>92</v>
      </c>
      <c r="F11" s="32" t="s">
        <v>590</v>
      </c>
    </row>
    <row r="12" spans="5:6" ht="15">
      <c r="E12" s="19" t="s">
        <v>93</v>
      </c>
      <c r="F12" s="32" t="s">
        <v>591</v>
      </c>
    </row>
    <row r="13" spans="5:6" ht="15">
      <c r="E13" s="19" t="s">
        <v>93</v>
      </c>
      <c r="F13" s="32" t="s">
        <v>592</v>
      </c>
    </row>
    <row r="14" ht="15">
      <c r="E14" s="19"/>
    </row>
    <row r="15" ht="15">
      <c r="E15" s="19"/>
    </row>
    <row r="16" spans="2:11" ht="12.75">
      <c r="B16" s="3"/>
      <c r="C16" s="28"/>
      <c r="E16" s="3"/>
      <c r="H16" s="3"/>
      <c r="I16" s="3"/>
      <c r="K16" s="3"/>
    </row>
    <row r="17" spans="2:11" ht="12.75">
      <c r="B17" s="3"/>
      <c r="C17" s="28"/>
      <c r="E17" s="3"/>
      <c r="H17" s="3"/>
      <c r="I17" s="3"/>
      <c r="K17" s="3"/>
    </row>
    <row r="18" spans="2:11" ht="12.75">
      <c r="B18" s="3"/>
      <c r="C18" s="28"/>
      <c r="E18" s="3"/>
      <c r="H18" s="3"/>
      <c r="I18" s="3"/>
      <c r="K18" s="3"/>
    </row>
    <row r="19" spans="2:11" ht="12.75">
      <c r="B19" s="3"/>
      <c r="C19" s="28"/>
      <c r="E19" s="3"/>
      <c r="H19" s="3"/>
      <c r="I19" s="3"/>
      <c r="K19" s="3"/>
    </row>
    <row r="20" spans="2:11" ht="12.75">
      <c r="B20" s="3"/>
      <c r="C20" s="28"/>
      <c r="E20" s="3"/>
      <c r="H20" s="3"/>
      <c r="I20" s="3"/>
      <c r="K20" s="3"/>
    </row>
    <row r="21" spans="2:11" ht="12.75">
      <c r="B21" s="3"/>
      <c r="C21" s="28"/>
      <c r="E21" s="3"/>
      <c r="H21" s="3"/>
      <c r="I21" s="3"/>
      <c r="K21" s="3"/>
    </row>
    <row r="22" spans="2:11" ht="12.75">
      <c r="B22" s="3"/>
      <c r="C22" s="28"/>
      <c r="E22" s="3"/>
      <c r="H22" s="3"/>
      <c r="I22" s="3"/>
      <c r="K22" s="3"/>
    </row>
    <row r="23" spans="2:11" ht="12.75">
      <c r="B23" s="3"/>
      <c r="C23" s="28"/>
      <c r="E23" s="3"/>
      <c r="H23" s="3"/>
      <c r="I23" s="3"/>
      <c r="K23" s="3"/>
    </row>
    <row r="24" spans="2:11" ht="12.75">
      <c r="B24" s="3"/>
      <c r="C24" s="28"/>
      <c r="E24" s="3"/>
      <c r="H24" s="3"/>
      <c r="I24" s="3"/>
      <c r="K24" s="3"/>
    </row>
    <row r="25" spans="2:11" ht="12.75">
      <c r="B25" s="3"/>
      <c r="C25" s="28"/>
      <c r="E25" s="3"/>
      <c r="H25" s="3"/>
      <c r="I25" s="3"/>
      <c r="K25" s="3"/>
    </row>
    <row r="26" spans="2:11" ht="12.75">
      <c r="B26" s="3"/>
      <c r="C26" s="28"/>
      <c r="E26" s="3"/>
      <c r="H26" s="3"/>
      <c r="I26" s="3"/>
      <c r="K26" s="3"/>
    </row>
    <row r="27" spans="2:11" ht="12.75">
      <c r="B27" s="3"/>
      <c r="C27" s="28"/>
      <c r="E27" s="3"/>
      <c r="H27" s="3"/>
      <c r="I27" s="3"/>
      <c r="K27" s="3"/>
    </row>
    <row r="28" spans="2:11" ht="12.75">
      <c r="B28" s="3"/>
      <c r="C28" s="28"/>
      <c r="E28" s="3"/>
      <c r="H28" s="3"/>
      <c r="I28" s="3"/>
      <c r="K28" s="3"/>
    </row>
    <row r="29" spans="2:11" ht="12.75">
      <c r="B29" s="3"/>
      <c r="C29" s="28"/>
      <c r="E29" s="3"/>
      <c r="H29" s="3"/>
      <c r="I29" s="3"/>
      <c r="K29" s="3"/>
    </row>
    <row r="30" spans="2:11" ht="12.75">
      <c r="B30" s="3"/>
      <c r="C30" s="28"/>
      <c r="E30" s="3"/>
      <c r="H30" s="3"/>
      <c r="I30" s="3"/>
      <c r="K30" s="3"/>
    </row>
    <row r="31" spans="2:11" ht="12.75">
      <c r="B31" s="3"/>
      <c r="C31" s="28"/>
      <c r="E31" s="3"/>
      <c r="H31" s="3"/>
      <c r="I31" s="3"/>
      <c r="K31" s="3"/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E19" sqref="E19:F23"/>
    </sheetView>
  </sheetViews>
  <sheetFormatPr defaultColWidth="9.1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6.00390625" style="4" bestFit="1" customWidth="1"/>
    <col min="7" max="9" width="5.625" style="3" bestFit="1" customWidth="1"/>
    <col min="10" max="10" width="4.875" style="3" bestFit="1" customWidth="1"/>
    <col min="11" max="11" width="11.2539062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8" t="s">
        <v>125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1.5" customHeight="1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0</v>
      </c>
      <c r="B3" s="66" t="s">
        <v>5</v>
      </c>
      <c r="C3" s="66" t="s">
        <v>6</v>
      </c>
      <c r="D3" s="53" t="s">
        <v>9</v>
      </c>
      <c r="E3" s="53" t="s">
        <v>3</v>
      </c>
      <c r="F3" s="53" t="s">
        <v>7</v>
      </c>
      <c r="G3" s="53" t="s">
        <v>126</v>
      </c>
      <c r="H3" s="53"/>
      <c r="I3" s="53"/>
      <c r="J3" s="53"/>
      <c r="K3" s="53" t="s">
        <v>114</v>
      </c>
      <c r="L3" s="53" t="s">
        <v>2</v>
      </c>
      <c r="M3" s="55" t="s">
        <v>1</v>
      </c>
    </row>
    <row r="4" spans="1:13" s="1" customFormat="1" ht="21" customHeight="1" thickBot="1">
      <c r="A4" s="65"/>
      <c r="B4" s="54"/>
      <c r="C4" s="54"/>
      <c r="D4" s="54"/>
      <c r="E4" s="54"/>
      <c r="F4" s="54"/>
      <c r="G4" s="5">
        <v>1</v>
      </c>
      <c r="H4" s="5">
        <v>2</v>
      </c>
      <c r="I4" s="5">
        <v>3</v>
      </c>
      <c r="J4" s="5" t="s">
        <v>4</v>
      </c>
      <c r="K4" s="54"/>
      <c r="L4" s="54"/>
      <c r="M4" s="56"/>
    </row>
    <row r="5" spans="1:12" ht="15">
      <c r="A5" s="57" t="s">
        <v>45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3" ht="12.75">
      <c r="A6" s="6" t="s">
        <v>127</v>
      </c>
      <c r="B6" s="6" t="s">
        <v>128</v>
      </c>
      <c r="C6" s="6" t="s">
        <v>129</v>
      </c>
      <c r="D6" s="6" t="str">
        <f>"0,6486"</f>
        <v>0,6486</v>
      </c>
      <c r="E6" s="6" t="s">
        <v>15</v>
      </c>
      <c r="F6" s="6" t="s">
        <v>23</v>
      </c>
      <c r="G6" s="8" t="s">
        <v>130</v>
      </c>
      <c r="H6" s="8" t="s">
        <v>131</v>
      </c>
      <c r="I6" s="8" t="s">
        <v>132</v>
      </c>
      <c r="J6" s="7"/>
      <c r="K6" s="6" t="str">
        <f>"152,5"</f>
        <v>152,5</v>
      </c>
      <c r="L6" s="8" t="str">
        <f>"98,9115"</f>
        <v>98,9115</v>
      </c>
      <c r="M6" s="6" t="s">
        <v>18</v>
      </c>
    </row>
    <row r="8" spans="1:12" ht="15">
      <c r="A8" s="52" t="s">
        <v>58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 ht="12.75">
      <c r="A9" s="10" t="s">
        <v>133</v>
      </c>
      <c r="B9" s="10" t="s">
        <v>134</v>
      </c>
      <c r="C9" s="10" t="s">
        <v>135</v>
      </c>
      <c r="D9" s="10" t="str">
        <f>"0,5897"</f>
        <v>0,5897</v>
      </c>
      <c r="E9" s="10" t="s">
        <v>15</v>
      </c>
      <c r="F9" s="10" t="s">
        <v>23</v>
      </c>
      <c r="G9" s="12" t="s">
        <v>136</v>
      </c>
      <c r="H9" s="12" t="s">
        <v>137</v>
      </c>
      <c r="I9" s="12" t="s">
        <v>138</v>
      </c>
      <c r="J9" s="11"/>
      <c r="K9" s="10" t="str">
        <f>"147,5"</f>
        <v>147,5</v>
      </c>
      <c r="L9" s="12" t="str">
        <f>"86,9807"</f>
        <v>86,9807</v>
      </c>
      <c r="M9" s="10" t="s">
        <v>18</v>
      </c>
    </row>
    <row r="10" spans="1:13" ht="12.75">
      <c r="A10" s="16" t="s">
        <v>139</v>
      </c>
      <c r="B10" s="16" t="s">
        <v>140</v>
      </c>
      <c r="C10" s="16" t="s">
        <v>141</v>
      </c>
      <c r="D10" s="16" t="str">
        <f>"0,5863"</f>
        <v>0,5863</v>
      </c>
      <c r="E10" s="16" t="s">
        <v>15</v>
      </c>
      <c r="F10" s="16" t="s">
        <v>23</v>
      </c>
      <c r="G10" s="18" t="s">
        <v>142</v>
      </c>
      <c r="H10" s="18" t="s">
        <v>137</v>
      </c>
      <c r="I10" s="17" t="s">
        <v>131</v>
      </c>
      <c r="J10" s="17"/>
      <c r="K10" s="16" t="str">
        <f>"142,5"</f>
        <v>142,5</v>
      </c>
      <c r="L10" s="18" t="str">
        <f>"83,5478"</f>
        <v>83,5478</v>
      </c>
      <c r="M10" s="16" t="s">
        <v>18</v>
      </c>
    </row>
    <row r="12" spans="1:12" ht="15">
      <c r="A12" s="52" t="s">
        <v>70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3" ht="12.75">
      <c r="A13" s="10" t="s">
        <v>143</v>
      </c>
      <c r="B13" s="10" t="s">
        <v>144</v>
      </c>
      <c r="C13" s="10" t="s">
        <v>145</v>
      </c>
      <c r="D13" s="10" t="str">
        <f>"0,5770"</f>
        <v>0,5770</v>
      </c>
      <c r="E13" s="10" t="s">
        <v>15</v>
      </c>
      <c r="F13" s="10" t="s">
        <v>146</v>
      </c>
      <c r="G13" s="12" t="s">
        <v>131</v>
      </c>
      <c r="H13" s="12" t="s">
        <v>147</v>
      </c>
      <c r="I13" s="12" t="s">
        <v>148</v>
      </c>
      <c r="J13" s="11"/>
      <c r="K13" s="10" t="str">
        <f>"162,5"</f>
        <v>162,5</v>
      </c>
      <c r="L13" s="12" t="str">
        <f>"93,7625"</f>
        <v>93,7625</v>
      </c>
      <c r="M13" s="10" t="s">
        <v>18</v>
      </c>
    </row>
    <row r="14" spans="1:13" ht="12.75">
      <c r="A14" s="13" t="s">
        <v>149</v>
      </c>
      <c r="B14" s="13" t="s">
        <v>150</v>
      </c>
      <c r="C14" s="13" t="s">
        <v>151</v>
      </c>
      <c r="D14" s="13" t="str">
        <f>"0,5712"</f>
        <v>0,5712</v>
      </c>
      <c r="E14" s="13" t="s">
        <v>15</v>
      </c>
      <c r="F14" s="13" t="s">
        <v>23</v>
      </c>
      <c r="G14" s="15" t="s">
        <v>152</v>
      </c>
      <c r="H14" s="15" t="s">
        <v>142</v>
      </c>
      <c r="I14" s="15" t="s">
        <v>153</v>
      </c>
      <c r="J14" s="14"/>
      <c r="K14" s="13" t="str">
        <f>"137,5"</f>
        <v>137,5</v>
      </c>
      <c r="L14" s="15" t="str">
        <f>"78,5400"</f>
        <v>78,5400</v>
      </c>
      <c r="M14" s="13" t="s">
        <v>18</v>
      </c>
    </row>
    <row r="15" spans="1:13" ht="12.75">
      <c r="A15" s="16" t="s">
        <v>154</v>
      </c>
      <c r="B15" s="16" t="s">
        <v>66</v>
      </c>
      <c r="C15" s="16" t="s">
        <v>155</v>
      </c>
      <c r="D15" s="16" t="str">
        <f>"0,5570"</f>
        <v>0,5570</v>
      </c>
      <c r="E15" s="16" t="s">
        <v>15</v>
      </c>
      <c r="F15" s="16" t="s">
        <v>23</v>
      </c>
      <c r="G15" s="18" t="s">
        <v>152</v>
      </c>
      <c r="H15" s="18" t="s">
        <v>153</v>
      </c>
      <c r="I15" s="17" t="s">
        <v>137</v>
      </c>
      <c r="J15" s="17"/>
      <c r="K15" s="16" t="str">
        <f>"137,5"</f>
        <v>137,5</v>
      </c>
      <c r="L15" s="18" t="str">
        <f>"76,5875"</f>
        <v>76,5875</v>
      </c>
      <c r="M15" s="16" t="s">
        <v>18</v>
      </c>
    </row>
    <row r="17" spans="1:12" ht="15">
      <c r="A17" s="52" t="s">
        <v>85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3" ht="12.75">
      <c r="A18" s="6" t="s">
        <v>157</v>
      </c>
      <c r="B18" s="6" t="s">
        <v>161</v>
      </c>
      <c r="C18" s="6" t="s">
        <v>158</v>
      </c>
      <c r="D18" s="6" t="str">
        <f>"0,5378"</f>
        <v>0,5378</v>
      </c>
      <c r="E18" s="6" t="s">
        <v>15</v>
      </c>
      <c r="F18" s="6" t="s">
        <v>23</v>
      </c>
      <c r="G18" s="8" t="s">
        <v>159</v>
      </c>
      <c r="H18" s="8" t="s">
        <v>142</v>
      </c>
      <c r="I18" s="7" t="s">
        <v>160</v>
      </c>
      <c r="J18" s="7"/>
      <c r="K18" s="6" t="str">
        <f>"135,0"</f>
        <v>135,0</v>
      </c>
      <c r="L18" s="8" t="str">
        <f>"72,6030"</f>
        <v>72,6030</v>
      </c>
      <c r="M18" s="6" t="s">
        <v>18</v>
      </c>
    </row>
    <row r="20" spans="5:6" ht="15">
      <c r="E20" s="19" t="s">
        <v>90</v>
      </c>
      <c r="F20" s="32" t="s">
        <v>588</v>
      </c>
    </row>
    <row r="21" spans="5:6" ht="15">
      <c r="E21" s="19" t="s">
        <v>91</v>
      </c>
      <c r="F21" s="32" t="s">
        <v>589</v>
      </c>
    </row>
    <row r="22" spans="5:6" ht="15">
      <c r="E22" s="19" t="s">
        <v>92</v>
      </c>
      <c r="F22" s="32" t="s">
        <v>590</v>
      </c>
    </row>
    <row r="23" spans="5:6" ht="15">
      <c r="E23" s="19" t="s">
        <v>93</v>
      </c>
      <c r="F23" s="32" t="s">
        <v>591</v>
      </c>
    </row>
    <row r="24" spans="5:6" ht="15">
      <c r="E24" s="19" t="s">
        <v>93</v>
      </c>
      <c r="F24" s="32" t="s">
        <v>603</v>
      </c>
    </row>
    <row r="25" ht="15">
      <c r="E25" s="19"/>
    </row>
    <row r="26" ht="15">
      <c r="E26" s="19"/>
    </row>
  </sheetData>
  <sheetProtection/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7:L17"/>
    <mergeCell ref="K3:K4"/>
    <mergeCell ref="L3:L4"/>
    <mergeCell ref="M3:M4"/>
    <mergeCell ref="A5:L5"/>
    <mergeCell ref="A8:L8"/>
    <mergeCell ref="A12:L1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E19" sqref="E19:F23"/>
    </sheetView>
  </sheetViews>
  <sheetFormatPr defaultColWidth="9.1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0.875" style="4" bestFit="1" customWidth="1"/>
    <col min="7" max="9" width="4.625" style="3" bestFit="1" customWidth="1"/>
    <col min="10" max="10" width="7.375" style="3" customWidth="1"/>
    <col min="11" max="11" width="11.2539062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8" t="s">
        <v>115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1.5" customHeight="1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0</v>
      </c>
      <c r="B3" s="66" t="s">
        <v>5</v>
      </c>
      <c r="C3" s="66" t="s">
        <v>6</v>
      </c>
      <c r="D3" s="53" t="s">
        <v>9</v>
      </c>
      <c r="E3" s="53" t="s">
        <v>3</v>
      </c>
      <c r="F3" s="53" t="s">
        <v>7</v>
      </c>
      <c r="G3" s="53" t="s">
        <v>10</v>
      </c>
      <c r="H3" s="53"/>
      <c r="I3" s="53"/>
      <c r="J3" s="53"/>
      <c r="K3" s="53" t="s">
        <v>114</v>
      </c>
      <c r="L3" s="53" t="s">
        <v>2</v>
      </c>
      <c r="M3" s="55" t="s">
        <v>1</v>
      </c>
    </row>
    <row r="4" spans="1:13" s="1" customFormat="1" ht="21" customHeight="1" thickBot="1">
      <c r="A4" s="65"/>
      <c r="B4" s="54"/>
      <c r="C4" s="54"/>
      <c r="D4" s="54"/>
      <c r="E4" s="54"/>
      <c r="F4" s="54"/>
      <c r="G4" s="5">
        <v>1</v>
      </c>
      <c r="H4" s="5">
        <v>2</v>
      </c>
      <c r="I4" s="5">
        <v>3</v>
      </c>
      <c r="J4" s="5" t="s">
        <v>4</v>
      </c>
      <c r="K4" s="54"/>
      <c r="L4" s="54"/>
      <c r="M4" s="56"/>
    </row>
    <row r="5" spans="1:12" ht="15">
      <c r="A5" s="57" t="s">
        <v>596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3" ht="12.75">
      <c r="A6" s="6" t="s">
        <v>121</v>
      </c>
      <c r="B6" s="6" t="s">
        <v>122</v>
      </c>
      <c r="C6" s="6" t="s">
        <v>123</v>
      </c>
      <c r="D6" s="6" t="str">
        <f>"0,5254"</f>
        <v>0,5254</v>
      </c>
      <c r="E6" s="6" t="s">
        <v>15</v>
      </c>
      <c r="F6" s="6" t="s">
        <v>23</v>
      </c>
      <c r="G6" s="8" t="s">
        <v>51</v>
      </c>
      <c r="H6" s="8" t="s">
        <v>81</v>
      </c>
      <c r="I6" s="7" t="s">
        <v>124</v>
      </c>
      <c r="J6" s="7"/>
      <c r="K6" s="6" t="str">
        <f>"77,5"</f>
        <v>77,5</v>
      </c>
      <c r="L6" s="8" t="str">
        <f>"40,7185"</f>
        <v>40,7185</v>
      </c>
      <c r="M6" s="6" t="s">
        <v>18</v>
      </c>
    </row>
    <row r="7" spans="1:13" ht="12.75">
      <c r="A7" s="33" t="s">
        <v>607</v>
      </c>
      <c r="B7" s="6" t="s">
        <v>117</v>
      </c>
      <c r="C7" s="6" t="s">
        <v>118</v>
      </c>
      <c r="D7" s="6" t="str">
        <f>"0,5405"</f>
        <v>0,5405</v>
      </c>
      <c r="E7" s="6" t="s">
        <v>15</v>
      </c>
      <c r="F7" s="6" t="s">
        <v>23</v>
      </c>
      <c r="G7" s="8" t="s">
        <v>51</v>
      </c>
      <c r="H7" s="7" t="s">
        <v>119</v>
      </c>
      <c r="I7" s="7" t="s">
        <v>119</v>
      </c>
      <c r="J7" s="7"/>
      <c r="K7" s="6" t="str">
        <f>"70,0"</f>
        <v>70,0</v>
      </c>
      <c r="L7" s="8" t="str">
        <f>"37,8350"</f>
        <v>37,8350</v>
      </c>
      <c r="M7" s="6" t="s">
        <v>18</v>
      </c>
    </row>
    <row r="10" spans="5:6" ht="15">
      <c r="E10" s="19" t="s">
        <v>90</v>
      </c>
      <c r="F10" s="32" t="s">
        <v>588</v>
      </c>
    </row>
    <row r="11" spans="5:6" ht="15">
      <c r="E11" s="19" t="s">
        <v>91</v>
      </c>
      <c r="F11" s="32" t="s">
        <v>589</v>
      </c>
    </row>
    <row r="12" spans="5:6" ht="15">
      <c r="E12" s="19" t="s">
        <v>92</v>
      </c>
      <c r="F12" s="32" t="s">
        <v>590</v>
      </c>
    </row>
    <row r="13" spans="5:6" ht="15">
      <c r="E13" s="19" t="s">
        <v>93</v>
      </c>
      <c r="F13" s="32" t="s">
        <v>591</v>
      </c>
    </row>
    <row r="14" spans="5:6" ht="15">
      <c r="E14" s="19" t="s">
        <v>93</v>
      </c>
      <c r="F14" s="32" t="s">
        <v>592</v>
      </c>
    </row>
    <row r="15" ht="15">
      <c r="E15" s="19"/>
    </row>
    <row r="16" ht="15">
      <c r="E16" s="19"/>
    </row>
    <row r="18" spans="2:13" ht="12.75">
      <c r="B18" s="3"/>
      <c r="C18" s="3"/>
      <c r="D18" s="3"/>
      <c r="E18" s="3"/>
      <c r="H18" s="4"/>
      <c r="K18" s="3"/>
      <c r="M18" s="3"/>
    </row>
    <row r="19" spans="2:13" ht="12.75">
      <c r="B19" s="3"/>
      <c r="C19" s="3"/>
      <c r="D19" s="3"/>
      <c r="E19" s="3"/>
      <c r="H19" s="4"/>
      <c r="K19" s="3"/>
      <c r="M19" s="3"/>
    </row>
    <row r="20" spans="2:13" ht="12.75">
      <c r="B20" s="3"/>
      <c r="C20" s="3"/>
      <c r="D20" s="3"/>
      <c r="E20" s="3"/>
      <c r="H20" s="4"/>
      <c r="K20" s="3"/>
      <c r="M20" s="3"/>
    </row>
    <row r="21" spans="2:13" ht="12.75">
      <c r="B21" s="3"/>
      <c r="C21" s="3"/>
      <c r="D21" s="3"/>
      <c r="E21" s="3"/>
      <c r="H21" s="4"/>
      <c r="K21" s="3"/>
      <c r="M21" s="3"/>
    </row>
    <row r="22" spans="2:13" ht="12.75">
      <c r="B22" s="3"/>
      <c r="C22" s="3"/>
      <c r="D22" s="3"/>
      <c r="E22" s="3"/>
      <c r="H22" s="4"/>
      <c r="K22" s="3"/>
      <c r="M22" s="3"/>
    </row>
    <row r="23" spans="2:13" ht="12.75">
      <c r="B23" s="3"/>
      <c r="C23" s="3"/>
      <c r="D23" s="3"/>
      <c r="E23" s="3"/>
      <c r="H23" s="4"/>
      <c r="K23" s="3"/>
      <c r="M23" s="3"/>
    </row>
    <row r="24" spans="2:13" ht="12.75">
      <c r="B24" s="3"/>
      <c r="C24" s="3"/>
      <c r="D24" s="3"/>
      <c r="E24" s="3"/>
      <c r="H24" s="4"/>
      <c r="K24" s="3"/>
      <c r="M24" s="3"/>
    </row>
    <row r="25" spans="2:13" ht="12.75">
      <c r="B25" s="3"/>
      <c r="C25" s="3"/>
      <c r="D25" s="3"/>
      <c r="E25" s="3"/>
      <c r="H25" s="4"/>
      <c r="K25" s="3"/>
      <c r="M25" s="3"/>
    </row>
    <row r="26" spans="2:13" ht="12.75">
      <c r="B26" s="3"/>
      <c r="C26" s="3"/>
      <c r="D26" s="3"/>
      <c r="E26" s="3"/>
      <c r="H26" s="4"/>
      <c r="K26" s="3"/>
      <c r="M26" s="3"/>
    </row>
  </sheetData>
  <sheetProtection/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A19" sqref="A19:L23"/>
    </sheetView>
  </sheetViews>
  <sheetFormatPr defaultColWidth="9.1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2.375" style="4" bestFit="1" customWidth="1"/>
    <col min="7" max="9" width="4.625" style="3" bestFit="1" customWidth="1"/>
    <col min="10" max="10" width="6.75390625" style="3" customWidth="1"/>
    <col min="11" max="11" width="11.2539062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1.5" customHeight="1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0</v>
      </c>
      <c r="B3" s="66" t="s">
        <v>5</v>
      </c>
      <c r="C3" s="66" t="s">
        <v>6</v>
      </c>
      <c r="D3" s="53" t="s">
        <v>9</v>
      </c>
      <c r="E3" s="53" t="s">
        <v>3</v>
      </c>
      <c r="F3" s="53" t="s">
        <v>7</v>
      </c>
      <c r="G3" s="53" t="s">
        <v>10</v>
      </c>
      <c r="H3" s="53"/>
      <c r="I3" s="53"/>
      <c r="J3" s="53"/>
      <c r="K3" s="53" t="s">
        <v>114</v>
      </c>
      <c r="L3" s="53" t="s">
        <v>2</v>
      </c>
      <c r="M3" s="55" t="s">
        <v>1</v>
      </c>
    </row>
    <row r="4" spans="1:13" s="1" customFormat="1" ht="21" customHeight="1" thickBot="1">
      <c r="A4" s="65"/>
      <c r="B4" s="54"/>
      <c r="C4" s="54"/>
      <c r="D4" s="54"/>
      <c r="E4" s="54"/>
      <c r="F4" s="54"/>
      <c r="G4" s="5">
        <v>1</v>
      </c>
      <c r="H4" s="5">
        <v>2</v>
      </c>
      <c r="I4" s="5">
        <v>3</v>
      </c>
      <c r="J4" s="5" t="s">
        <v>4</v>
      </c>
      <c r="K4" s="54"/>
      <c r="L4" s="54"/>
      <c r="M4" s="56"/>
    </row>
    <row r="5" spans="1:12" ht="15">
      <c r="A5" s="57" t="s">
        <v>608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3" ht="12.75">
      <c r="A6" s="6" t="s">
        <v>12</v>
      </c>
      <c r="B6" s="6" t="s">
        <v>13</v>
      </c>
      <c r="C6" s="6" t="s">
        <v>14</v>
      </c>
      <c r="D6" s="6" t="str">
        <f>"1,0704"</f>
        <v>1,0704</v>
      </c>
      <c r="E6" s="6" t="s">
        <v>15</v>
      </c>
      <c r="F6" s="6" t="s">
        <v>16</v>
      </c>
      <c r="G6" s="7" t="s">
        <v>17</v>
      </c>
      <c r="H6" s="7" t="s">
        <v>17</v>
      </c>
      <c r="I6" s="8" t="s">
        <v>17</v>
      </c>
      <c r="J6" s="7"/>
      <c r="K6" s="6" t="str">
        <f>"20,0"</f>
        <v>20,0</v>
      </c>
      <c r="L6" s="8" t="str">
        <f>"26,3306"</f>
        <v>26,3306</v>
      </c>
      <c r="M6" s="6" t="s">
        <v>18</v>
      </c>
    </row>
    <row r="8" spans="1:12" ht="15">
      <c r="A8" s="52" t="s">
        <v>609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 ht="12.75">
      <c r="A9" s="45" t="s">
        <v>28</v>
      </c>
      <c r="B9" s="48" t="s">
        <v>29</v>
      </c>
      <c r="C9" s="45" t="s">
        <v>30</v>
      </c>
      <c r="D9" s="10" t="str">
        <f>"0,6733"</f>
        <v>0,6733</v>
      </c>
      <c r="E9" s="10" t="s">
        <v>15</v>
      </c>
      <c r="F9" s="10" t="s">
        <v>23</v>
      </c>
      <c r="G9" s="12" t="s">
        <v>31</v>
      </c>
      <c r="H9" s="12" t="s">
        <v>32</v>
      </c>
      <c r="I9" s="12" t="s">
        <v>33</v>
      </c>
      <c r="J9" s="11"/>
      <c r="K9" s="10" t="str">
        <f>"65,0"</f>
        <v>65,0</v>
      </c>
      <c r="L9" s="12" t="str">
        <f>"45,5185"</f>
        <v>45,5185</v>
      </c>
      <c r="M9" s="10" t="s">
        <v>18</v>
      </c>
    </row>
    <row r="10" spans="1:13" ht="12.75">
      <c r="A10" s="40" t="s">
        <v>443</v>
      </c>
      <c r="B10" s="49" t="s">
        <v>46</v>
      </c>
      <c r="C10" s="39" t="s">
        <v>47</v>
      </c>
      <c r="D10" s="13" t="str">
        <f>"0,6219"</f>
        <v>0,6219</v>
      </c>
      <c r="E10" s="13" t="s">
        <v>15</v>
      </c>
      <c r="F10" s="13" t="s">
        <v>23</v>
      </c>
      <c r="G10" s="15" t="s">
        <v>24</v>
      </c>
      <c r="H10" s="14" t="s">
        <v>26</v>
      </c>
      <c r="I10" s="14" t="s">
        <v>26</v>
      </c>
      <c r="J10" s="14"/>
      <c r="K10" s="13" t="str">
        <f>"40,0"</f>
        <v>40,0</v>
      </c>
      <c r="L10" s="15" t="str">
        <f>"25,8710"</f>
        <v>25,8710</v>
      </c>
      <c r="M10" s="13" t="s">
        <v>18</v>
      </c>
    </row>
    <row r="11" spans="1:13" ht="12.75">
      <c r="A11" s="13" t="s">
        <v>48</v>
      </c>
      <c r="B11" s="49" t="s">
        <v>49</v>
      </c>
      <c r="C11" s="13" t="s">
        <v>50</v>
      </c>
      <c r="D11" s="13" t="str">
        <f>"0,6467"</f>
        <v>0,6467</v>
      </c>
      <c r="E11" s="13" t="s">
        <v>15</v>
      </c>
      <c r="F11" s="13" t="s">
        <v>23</v>
      </c>
      <c r="G11" s="15" t="s">
        <v>32</v>
      </c>
      <c r="H11" s="14" t="s">
        <v>51</v>
      </c>
      <c r="I11" s="15" t="s">
        <v>51</v>
      </c>
      <c r="J11" s="14"/>
      <c r="K11" s="13" t="str">
        <f>"70,0"</f>
        <v>70,0</v>
      </c>
      <c r="L11" s="15" t="str">
        <f>"46,6271"</f>
        <v>46,6271</v>
      </c>
      <c r="M11" s="13" t="s">
        <v>18</v>
      </c>
    </row>
    <row r="12" spans="1:13" ht="12.75">
      <c r="A12" s="36" t="s">
        <v>610</v>
      </c>
      <c r="B12" s="50" t="s">
        <v>34</v>
      </c>
      <c r="C12" s="13" t="s">
        <v>35</v>
      </c>
      <c r="D12" s="13" t="str">
        <f>"0,6793"</f>
        <v>0,6793</v>
      </c>
      <c r="E12" s="13" t="s">
        <v>15</v>
      </c>
      <c r="F12" s="13" t="s">
        <v>23</v>
      </c>
      <c r="G12" s="15" t="s">
        <v>31</v>
      </c>
      <c r="H12" s="15" t="s">
        <v>36</v>
      </c>
      <c r="I12" s="15" t="s">
        <v>33</v>
      </c>
      <c r="J12" s="14"/>
      <c r="K12" s="13" t="str">
        <f>"65,0"</f>
        <v>65,0</v>
      </c>
      <c r="L12" s="15" t="str">
        <f>"44,5960"</f>
        <v>44,5960</v>
      </c>
      <c r="M12" s="13" t="s">
        <v>18</v>
      </c>
    </row>
    <row r="13" spans="1:13" ht="12.75">
      <c r="A13" s="13" t="s">
        <v>37</v>
      </c>
      <c r="B13" s="49" t="s">
        <v>38</v>
      </c>
      <c r="C13" s="13" t="s">
        <v>39</v>
      </c>
      <c r="D13" s="13" t="str">
        <f>"0,6870"</f>
        <v>0,6870</v>
      </c>
      <c r="E13" s="13" t="s">
        <v>15</v>
      </c>
      <c r="F13" s="13" t="s">
        <v>23</v>
      </c>
      <c r="G13" s="15" t="s">
        <v>31</v>
      </c>
      <c r="H13" s="15" t="s">
        <v>32</v>
      </c>
      <c r="I13" s="15" t="s">
        <v>36</v>
      </c>
      <c r="J13" s="14"/>
      <c r="K13" s="13" t="str">
        <f>"62,5"</f>
        <v>62,5</v>
      </c>
      <c r="L13" s="15" t="str">
        <f>"42,9406"</f>
        <v>42,9406</v>
      </c>
      <c r="M13" s="13" t="s">
        <v>18</v>
      </c>
    </row>
    <row r="14" spans="1:13" ht="12.75">
      <c r="A14" s="36" t="s">
        <v>455</v>
      </c>
      <c r="B14" s="49" t="s">
        <v>52</v>
      </c>
      <c r="C14" s="13" t="s">
        <v>53</v>
      </c>
      <c r="D14" s="13" t="str">
        <f>"0,6209"</f>
        <v>0,6209</v>
      </c>
      <c r="E14" s="13" t="s">
        <v>15</v>
      </c>
      <c r="F14" s="13" t="s">
        <v>54</v>
      </c>
      <c r="G14" s="15" t="s">
        <v>43</v>
      </c>
      <c r="H14" s="15" t="s">
        <v>55</v>
      </c>
      <c r="I14" s="14" t="s">
        <v>32</v>
      </c>
      <c r="J14" s="14"/>
      <c r="K14" s="13" t="str">
        <f>"57,5"</f>
        <v>57,5</v>
      </c>
      <c r="L14" s="15" t="str">
        <f>"35,7017"</f>
        <v>35,7017</v>
      </c>
      <c r="M14" s="13" t="s">
        <v>18</v>
      </c>
    </row>
    <row r="15" spans="1:13" ht="12.75">
      <c r="A15" s="32" t="s">
        <v>611</v>
      </c>
      <c r="B15" s="49" t="s">
        <v>56</v>
      </c>
      <c r="C15" s="39" t="s">
        <v>57</v>
      </c>
      <c r="D15" s="13" t="str">
        <f>"0,6290"</f>
        <v>0,6290</v>
      </c>
      <c r="E15" s="13" t="s">
        <v>15</v>
      </c>
      <c r="F15" s="13" t="s">
        <v>16</v>
      </c>
      <c r="G15" s="15" t="s">
        <v>31</v>
      </c>
      <c r="H15" s="14" t="s">
        <v>55</v>
      </c>
      <c r="I15" s="14" t="s">
        <v>55</v>
      </c>
      <c r="J15" s="14"/>
      <c r="K15" s="13" t="str">
        <f>"55,0"</f>
        <v>55,0</v>
      </c>
      <c r="L15" s="15" t="str">
        <f>"34,5950"</f>
        <v>34,5950</v>
      </c>
      <c r="M15" s="13" t="s">
        <v>18</v>
      </c>
    </row>
    <row r="16" spans="1:13" ht="12.75">
      <c r="A16" s="40" t="s">
        <v>612</v>
      </c>
      <c r="B16" s="49" t="s">
        <v>21</v>
      </c>
      <c r="C16" s="13" t="s">
        <v>22</v>
      </c>
      <c r="D16" s="13" t="str">
        <f>"0,8756"</f>
        <v>0,8756</v>
      </c>
      <c r="E16" s="13" t="s">
        <v>15</v>
      </c>
      <c r="F16" s="13" t="s">
        <v>23</v>
      </c>
      <c r="G16" s="15" t="s">
        <v>24</v>
      </c>
      <c r="H16" s="15" t="s">
        <v>25</v>
      </c>
      <c r="I16" s="14" t="s">
        <v>26</v>
      </c>
      <c r="J16" s="14"/>
      <c r="K16" s="13" t="str">
        <f>"45,0"</f>
        <v>45,0</v>
      </c>
      <c r="L16" s="41" t="str">
        <f>"39,4042"</f>
        <v>39,4042</v>
      </c>
      <c r="M16" s="13" t="s">
        <v>18</v>
      </c>
    </row>
    <row r="17" spans="1:13" ht="12.75">
      <c r="A17" s="42" t="s">
        <v>40</v>
      </c>
      <c r="B17" s="51" t="s">
        <v>41</v>
      </c>
      <c r="C17" s="16" t="s">
        <v>42</v>
      </c>
      <c r="D17" s="16" t="str">
        <f>"0,6680"</f>
        <v>0,6680</v>
      </c>
      <c r="E17" s="16" t="s">
        <v>15</v>
      </c>
      <c r="F17" s="16" t="s">
        <v>23</v>
      </c>
      <c r="G17" s="18" t="s">
        <v>25</v>
      </c>
      <c r="H17" s="18" t="s">
        <v>43</v>
      </c>
      <c r="I17" s="18" t="s">
        <v>44</v>
      </c>
      <c r="J17" s="17"/>
      <c r="K17" s="16" t="str">
        <f>"52,5"</f>
        <v>52,5</v>
      </c>
      <c r="L17" s="43" t="str">
        <f>"61,5478"</f>
        <v>61,5478</v>
      </c>
      <c r="M17" s="16" t="s">
        <v>18</v>
      </c>
    </row>
    <row r="18" spans="1:12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">
      <c r="A19" s="52" t="s">
        <v>593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3" ht="12.75">
      <c r="A20" s="10" t="s">
        <v>60</v>
      </c>
      <c r="B20" s="35" t="s">
        <v>613</v>
      </c>
      <c r="C20" s="10" t="s">
        <v>62</v>
      </c>
      <c r="D20" s="10" t="str">
        <f>"0,6022"</f>
        <v>0,6022</v>
      </c>
      <c r="E20" s="10" t="s">
        <v>15</v>
      </c>
      <c r="F20" s="10" t="s">
        <v>23</v>
      </c>
      <c r="G20" s="12" t="s">
        <v>55</v>
      </c>
      <c r="H20" s="12" t="s">
        <v>36</v>
      </c>
      <c r="I20" s="12" t="s">
        <v>63</v>
      </c>
      <c r="J20" s="44"/>
      <c r="K20" s="45" t="str">
        <f>"67,5"</f>
        <v>67,5</v>
      </c>
      <c r="L20" s="47" t="str">
        <f>"41,4615"</f>
        <v>41,4615</v>
      </c>
      <c r="M20" s="45" t="s">
        <v>18</v>
      </c>
    </row>
    <row r="21" spans="1:13" ht="12.75">
      <c r="A21" s="36" t="s">
        <v>615</v>
      </c>
      <c r="B21" s="36" t="s">
        <v>614</v>
      </c>
      <c r="C21" s="13" t="s">
        <v>59</v>
      </c>
      <c r="D21" s="13" t="str">
        <f>"0,5967"</f>
        <v>0,5967</v>
      </c>
      <c r="E21" s="13" t="s">
        <v>15</v>
      </c>
      <c r="F21" s="13" t="s">
        <v>23</v>
      </c>
      <c r="G21" s="15" t="s">
        <v>32</v>
      </c>
      <c r="H21" s="15" t="s">
        <v>33</v>
      </c>
      <c r="I21" s="14" t="s">
        <v>51</v>
      </c>
      <c r="J21" s="38"/>
      <c r="K21" s="39" t="str">
        <f>"65,0"</f>
        <v>65,0</v>
      </c>
      <c r="L21" s="41" t="str">
        <f>"41,1126"</f>
        <v>41,1126</v>
      </c>
      <c r="M21" s="39" t="s">
        <v>18</v>
      </c>
    </row>
    <row r="22" spans="1:13" ht="12.75">
      <c r="A22" s="13" t="s">
        <v>71</v>
      </c>
      <c r="B22" s="13" t="s">
        <v>72</v>
      </c>
      <c r="C22" s="13" t="s">
        <v>73</v>
      </c>
      <c r="D22" s="13" t="str">
        <f>"0,5744"</f>
        <v>0,5744</v>
      </c>
      <c r="E22" s="13" t="s">
        <v>15</v>
      </c>
      <c r="F22" s="13" t="s">
        <v>23</v>
      </c>
      <c r="G22" s="15" t="s">
        <v>33</v>
      </c>
      <c r="H22" s="14" t="s">
        <v>74</v>
      </c>
      <c r="I22" s="15" t="s">
        <v>74</v>
      </c>
      <c r="J22" s="38"/>
      <c r="K22" s="39" t="str">
        <f>"75,0"</f>
        <v>75,0</v>
      </c>
      <c r="L22" s="41" t="str">
        <f>"43,0800"</f>
        <v>43,0800</v>
      </c>
      <c r="M22" s="39" t="s">
        <v>18</v>
      </c>
    </row>
    <row r="23" spans="1:13" ht="12.75">
      <c r="A23" s="13" t="s">
        <v>75</v>
      </c>
      <c r="B23" s="13" t="s">
        <v>76</v>
      </c>
      <c r="C23" s="13" t="s">
        <v>77</v>
      </c>
      <c r="D23" s="13" t="str">
        <f>"0,5599"</f>
        <v>0,5599</v>
      </c>
      <c r="E23" s="13" t="s">
        <v>15</v>
      </c>
      <c r="F23" s="13" t="s">
        <v>23</v>
      </c>
      <c r="G23" s="15" t="s">
        <v>63</v>
      </c>
      <c r="H23" s="15" t="s">
        <v>74</v>
      </c>
      <c r="I23" s="14" t="s">
        <v>78</v>
      </c>
      <c r="J23" s="38"/>
      <c r="K23" s="39" t="str">
        <f>"75,0"</f>
        <v>75,0</v>
      </c>
      <c r="L23" s="41" t="str">
        <f>"41,9925"</f>
        <v>41,9925</v>
      </c>
      <c r="M23" s="39" t="s">
        <v>18</v>
      </c>
    </row>
    <row r="24" spans="1:13" ht="12.75">
      <c r="A24" s="36" t="s">
        <v>616</v>
      </c>
      <c r="B24" s="13" t="s">
        <v>64</v>
      </c>
      <c r="C24" s="13" t="s">
        <v>65</v>
      </c>
      <c r="D24" s="13" t="str">
        <f>"0,5914"</f>
        <v>0,5914</v>
      </c>
      <c r="E24" s="13" t="s">
        <v>15</v>
      </c>
      <c r="F24" s="13" t="s">
        <v>23</v>
      </c>
      <c r="G24" s="15" t="s">
        <v>55</v>
      </c>
      <c r="H24" s="15" t="s">
        <v>36</v>
      </c>
      <c r="I24" s="15" t="s">
        <v>51</v>
      </c>
      <c r="J24" s="38"/>
      <c r="K24" s="39" t="str">
        <f>"70,0"</f>
        <v>70,0</v>
      </c>
      <c r="L24" s="41" t="str">
        <f>"41,3980"</f>
        <v>41,3980</v>
      </c>
      <c r="M24" s="39" t="s">
        <v>18</v>
      </c>
    </row>
    <row r="25" spans="1:13" ht="12.75">
      <c r="A25" s="36" t="s">
        <v>617</v>
      </c>
      <c r="B25" s="13" t="s">
        <v>66</v>
      </c>
      <c r="C25" s="13" t="s">
        <v>67</v>
      </c>
      <c r="D25" s="13" t="str">
        <f>"0,5861"</f>
        <v>0,5861</v>
      </c>
      <c r="E25" s="13" t="s">
        <v>15</v>
      </c>
      <c r="F25" s="13" t="s">
        <v>23</v>
      </c>
      <c r="G25" s="15" t="s">
        <v>32</v>
      </c>
      <c r="H25" s="15" t="s">
        <v>63</v>
      </c>
      <c r="I25" s="15" t="s">
        <v>51</v>
      </c>
      <c r="J25" s="38"/>
      <c r="K25" s="39" t="str">
        <f>"70,0"</f>
        <v>70,0</v>
      </c>
      <c r="L25" s="41" t="str">
        <f>"41,0270"</f>
        <v>41,0270</v>
      </c>
      <c r="M25" s="39" t="s">
        <v>18</v>
      </c>
    </row>
    <row r="26" spans="1:13" ht="12.75">
      <c r="A26" s="36" t="s">
        <v>618</v>
      </c>
      <c r="B26" s="13" t="s">
        <v>79</v>
      </c>
      <c r="C26" s="13" t="s">
        <v>80</v>
      </c>
      <c r="D26" s="13" t="str">
        <f>"0,5551"</f>
        <v>0,5551</v>
      </c>
      <c r="E26" s="13" t="s">
        <v>15</v>
      </c>
      <c r="F26" s="13" t="s">
        <v>23</v>
      </c>
      <c r="G26" s="15" t="s">
        <v>32</v>
      </c>
      <c r="H26" s="15" t="s">
        <v>63</v>
      </c>
      <c r="I26" s="14" t="s">
        <v>81</v>
      </c>
      <c r="J26" s="38"/>
      <c r="K26" s="39" t="str">
        <f>"67,5"</f>
        <v>67,5</v>
      </c>
      <c r="L26" s="41" t="str">
        <f>"37,4726"</f>
        <v>37,4726</v>
      </c>
      <c r="M26" s="39" t="s">
        <v>18</v>
      </c>
    </row>
    <row r="27" spans="1:13" ht="12.75">
      <c r="A27" s="36" t="s">
        <v>619</v>
      </c>
      <c r="B27" s="13" t="s">
        <v>68</v>
      </c>
      <c r="C27" s="13" t="s">
        <v>69</v>
      </c>
      <c r="D27" s="13" t="str">
        <f>"0,6059"</f>
        <v>0,6059</v>
      </c>
      <c r="E27" s="13" t="s">
        <v>15</v>
      </c>
      <c r="F27" s="13" t="s">
        <v>23</v>
      </c>
      <c r="G27" s="15" t="s">
        <v>31</v>
      </c>
      <c r="H27" s="15" t="s">
        <v>32</v>
      </c>
      <c r="I27" s="14" t="s">
        <v>36</v>
      </c>
      <c r="J27" s="38"/>
      <c r="K27" s="39" t="str">
        <f>"60,0"</f>
        <v>60,0</v>
      </c>
      <c r="L27" s="41" t="str">
        <f>"36,3540"</f>
        <v>36,3540</v>
      </c>
      <c r="M27" s="39" t="s">
        <v>18</v>
      </c>
    </row>
    <row r="28" spans="1:13" ht="12.75">
      <c r="A28" s="16" t="s">
        <v>82</v>
      </c>
      <c r="B28" s="16" t="s">
        <v>83</v>
      </c>
      <c r="C28" s="16" t="s">
        <v>84</v>
      </c>
      <c r="D28" s="16" t="str">
        <f>"0,5617"</f>
        <v>0,5617</v>
      </c>
      <c r="E28" s="16" t="s">
        <v>15</v>
      </c>
      <c r="F28" s="16" t="s">
        <v>23</v>
      </c>
      <c r="G28" s="17" t="s">
        <v>31</v>
      </c>
      <c r="H28" s="17" t="s">
        <v>31</v>
      </c>
      <c r="I28" s="17" t="s">
        <v>31</v>
      </c>
      <c r="J28" s="46"/>
      <c r="K28" s="42" t="str">
        <f>"0.00"</f>
        <v>0.00</v>
      </c>
      <c r="L28" s="18" t="str">
        <f>"0,0000"</f>
        <v>0,0000</v>
      </c>
      <c r="M28" s="42" t="s">
        <v>18</v>
      </c>
    </row>
    <row r="30" spans="1:12" ht="15">
      <c r="A30" s="52" t="s">
        <v>596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3" ht="12.75">
      <c r="A31" s="6" t="s">
        <v>86</v>
      </c>
      <c r="B31" s="6" t="s">
        <v>87</v>
      </c>
      <c r="C31" s="6" t="s">
        <v>88</v>
      </c>
      <c r="D31" s="6" t="str">
        <f>"0,5368"</f>
        <v>0,5368</v>
      </c>
      <c r="E31" s="6" t="s">
        <v>15</v>
      </c>
      <c r="F31" s="6" t="s">
        <v>23</v>
      </c>
      <c r="G31" s="8" t="s">
        <v>33</v>
      </c>
      <c r="H31" s="8" t="s">
        <v>89</v>
      </c>
      <c r="I31" s="7" t="s">
        <v>74</v>
      </c>
      <c r="J31" s="7"/>
      <c r="K31" s="6" t="str">
        <f>"72,5"</f>
        <v>72,5</v>
      </c>
      <c r="L31" s="8" t="str">
        <f>"38,9180"</f>
        <v>38,9180</v>
      </c>
      <c r="M31" s="6" t="s">
        <v>18</v>
      </c>
    </row>
    <row r="33" spans="5:6" ht="15">
      <c r="E33" s="19" t="s">
        <v>90</v>
      </c>
      <c r="F33" s="32" t="s">
        <v>588</v>
      </c>
    </row>
    <row r="34" spans="5:6" ht="15">
      <c r="E34" s="19" t="s">
        <v>91</v>
      </c>
      <c r="F34" s="32" t="s">
        <v>589</v>
      </c>
    </row>
    <row r="35" spans="5:6" ht="15">
      <c r="E35" s="19" t="s">
        <v>92</v>
      </c>
      <c r="F35" s="32" t="s">
        <v>590</v>
      </c>
    </row>
    <row r="36" spans="5:6" ht="15">
      <c r="E36" s="19" t="s">
        <v>93</v>
      </c>
      <c r="F36" s="32" t="s">
        <v>591</v>
      </c>
    </row>
    <row r="37" spans="5:6" ht="15">
      <c r="E37" s="19" t="s">
        <v>93</v>
      </c>
      <c r="F37" s="32" t="s">
        <v>592</v>
      </c>
    </row>
    <row r="38" ht="15">
      <c r="E38" s="19"/>
    </row>
    <row r="40" spans="1:2" ht="18">
      <c r="A40" s="20" t="s">
        <v>94</v>
      </c>
      <c r="B40" s="20"/>
    </row>
    <row r="41" spans="1:2" ht="15">
      <c r="A41" s="21" t="s">
        <v>102</v>
      </c>
      <c r="B41" s="21"/>
    </row>
    <row r="42" spans="1:5" ht="15">
      <c r="A42" s="24" t="s">
        <v>96</v>
      </c>
      <c r="B42" s="24" t="s">
        <v>97</v>
      </c>
      <c r="C42" s="24" t="s">
        <v>98</v>
      </c>
      <c r="D42" s="24" t="s">
        <v>99</v>
      </c>
      <c r="E42" s="24" t="s">
        <v>100</v>
      </c>
    </row>
    <row r="43" spans="1:5" ht="12.75">
      <c r="A43" s="34" t="s">
        <v>48</v>
      </c>
      <c r="B43" s="4" t="s">
        <v>108</v>
      </c>
      <c r="C43" s="4" t="s">
        <v>105</v>
      </c>
      <c r="D43" s="4" t="s">
        <v>51</v>
      </c>
      <c r="E43" s="25" t="s">
        <v>107</v>
      </c>
    </row>
  </sheetData>
  <sheetProtection/>
  <mergeCells count="15">
    <mergeCell ref="A1:M2"/>
    <mergeCell ref="G3:J3"/>
    <mergeCell ref="A3:A4"/>
    <mergeCell ref="B3:B4"/>
    <mergeCell ref="C3:C4"/>
    <mergeCell ref="M3:M4"/>
    <mergeCell ref="F3:F4"/>
    <mergeCell ref="E3:E4"/>
    <mergeCell ref="A30:L30"/>
    <mergeCell ref="A5:L5"/>
    <mergeCell ref="A8:L8"/>
    <mergeCell ref="A19:L19"/>
    <mergeCell ref="D3:D4"/>
    <mergeCell ref="K3:K4"/>
    <mergeCell ref="L3:L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E19" sqref="E19:F23"/>
    </sheetView>
  </sheetViews>
  <sheetFormatPr defaultColWidth="9.1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0.875" style="4" bestFit="1" customWidth="1"/>
    <col min="7" max="9" width="5.625" style="3" bestFit="1" customWidth="1"/>
    <col min="10" max="10" width="4.875" style="3" bestFit="1" customWidth="1"/>
    <col min="11" max="11" width="11.2539062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8" t="s">
        <v>513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1.5" customHeight="1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0</v>
      </c>
      <c r="B3" s="66" t="s">
        <v>5</v>
      </c>
      <c r="C3" s="66" t="s">
        <v>6</v>
      </c>
      <c r="D3" s="53" t="s">
        <v>9</v>
      </c>
      <c r="E3" s="53" t="s">
        <v>3</v>
      </c>
      <c r="F3" s="53" t="s">
        <v>7</v>
      </c>
      <c r="G3" s="53" t="s">
        <v>374</v>
      </c>
      <c r="H3" s="53"/>
      <c r="I3" s="53"/>
      <c r="J3" s="53"/>
      <c r="K3" s="53" t="s">
        <v>114</v>
      </c>
      <c r="L3" s="53" t="s">
        <v>2</v>
      </c>
      <c r="M3" s="55" t="s">
        <v>1</v>
      </c>
    </row>
    <row r="4" spans="1:13" s="1" customFormat="1" ht="21" customHeight="1" thickBot="1">
      <c r="A4" s="65"/>
      <c r="B4" s="54"/>
      <c r="C4" s="54"/>
      <c r="D4" s="54"/>
      <c r="E4" s="54"/>
      <c r="F4" s="54"/>
      <c r="G4" s="5">
        <v>1</v>
      </c>
      <c r="H4" s="5">
        <v>2</v>
      </c>
      <c r="I4" s="5">
        <v>3</v>
      </c>
      <c r="J4" s="5" t="s">
        <v>4</v>
      </c>
      <c r="K4" s="54"/>
      <c r="L4" s="54"/>
      <c r="M4" s="56"/>
    </row>
    <row r="5" spans="1:12" ht="15">
      <c r="A5" s="57" t="s">
        <v>45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3" ht="12.75">
      <c r="A6" s="6" t="s">
        <v>514</v>
      </c>
      <c r="B6" s="6" t="s">
        <v>515</v>
      </c>
      <c r="C6" s="6" t="s">
        <v>516</v>
      </c>
      <c r="D6" s="6" t="str">
        <f>"0,6273"</f>
        <v>0,6273</v>
      </c>
      <c r="E6" s="6" t="s">
        <v>15</v>
      </c>
      <c r="F6" s="6" t="s">
        <v>23</v>
      </c>
      <c r="G6" s="8" t="s">
        <v>505</v>
      </c>
      <c r="H6" s="8" t="s">
        <v>466</v>
      </c>
      <c r="I6" s="7" t="s">
        <v>467</v>
      </c>
      <c r="J6" s="7"/>
      <c r="K6" s="6" t="str">
        <f>"260,0"</f>
        <v>260,0</v>
      </c>
      <c r="L6" s="8" t="str">
        <f>"163,0980"</f>
        <v>163,0980</v>
      </c>
      <c r="M6" s="6" t="s">
        <v>18</v>
      </c>
    </row>
    <row r="8" spans="1:12" ht="15">
      <c r="A8" s="52" t="s">
        <v>58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 ht="12.75">
      <c r="A9" s="6" t="s">
        <v>517</v>
      </c>
      <c r="B9" s="6" t="s">
        <v>518</v>
      </c>
      <c r="C9" s="6" t="s">
        <v>519</v>
      </c>
      <c r="D9" s="6" t="str">
        <f>"0,5869"</f>
        <v>0,5869</v>
      </c>
      <c r="E9" s="6" t="s">
        <v>15</v>
      </c>
      <c r="F9" s="6" t="s">
        <v>23</v>
      </c>
      <c r="G9" s="7" t="s">
        <v>467</v>
      </c>
      <c r="H9" s="8" t="s">
        <v>467</v>
      </c>
      <c r="I9" s="7" t="s">
        <v>496</v>
      </c>
      <c r="J9" s="7"/>
      <c r="K9" s="6" t="str">
        <f>"270,0"</f>
        <v>270,0</v>
      </c>
      <c r="L9" s="8" t="str">
        <f>"158,4630"</f>
        <v>158,4630</v>
      </c>
      <c r="M9" s="6" t="s">
        <v>18</v>
      </c>
    </row>
    <row r="11" spans="1:12" ht="15">
      <c r="A11" s="52" t="s">
        <v>85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3" ht="12.75">
      <c r="A12" s="6" t="s">
        <v>520</v>
      </c>
      <c r="B12" s="6" t="s">
        <v>521</v>
      </c>
      <c r="C12" s="6" t="s">
        <v>522</v>
      </c>
      <c r="D12" s="6" t="str">
        <f>"0,5367"</f>
        <v>0,5367</v>
      </c>
      <c r="E12" s="6" t="s">
        <v>15</v>
      </c>
      <c r="F12" s="6" t="s">
        <v>23</v>
      </c>
      <c r="G12" s="8" t="s">
        <v>483</v>
      </c>
      <c r="H12" s="8" t="s">
        <v>523</v>
      </c>
      <c r="I12" s="7" t="s">
        <v>524</v>
      </c>
      <c r="J12" s="7"/>
      <c r="K12" s="6" t="str">
        <f>"330,0"</f>
        <v>330,0</v>
      </c>
      <c r="L12" s="8" t="str">
        <f>"177,1110"</f>
        <v>177,1110</v>
      </c>
      <c r="M12" s="6" t="s">
        <v>18</v>
      </c>
    </row>
    <row r="14" spans="5:6" ht="15">
      <c r="E14" s="19" t="s">
        <v>90</v>
      </c>
      <c r="F14" s="32" t="s">
        <v>588</v>
      </c>
    </row>
    <row r="15" spans="5:6" ht="15">
      <c r="E15" s="19" t="s">
        <v>91</v>
      </c>
      <c r="F15" s="32" t="s">
        <v>589</v>
      </c>
    </row>
    <row r="16" spans="5:6" ht="15">
      <c r="E16" s="19" t="s">
        <v>92</v>
      </c>
      <c r="F16" s="32" t="s">
        <v>590</v>
      </c>
    </row>
    <row r="17" spans="5:6" ht="15">
      <c r="E17" s="19" t="s">
        <v>93</v>
      </c>
      <c r="F17" s="32" t="s">
        <v>591</v>
      </c>
    </row>
    <row r="18" spans="5:6" ht="15">
      <c r="E18" s="19" t="s">
        <v>93</v>
      </c>
      <c r="F18" s="32" t="s">
        <v>597</v>
      </c>
    </row>
    <row r="19" ht="15">
      <c r="E19" s="19"/>
    </row>
    <row r="20" ht="15">
      <c r="E20" s="19"/>
    </row>
    <row r="22" spans="2:13" ht="12.75">
      <c r="B22" s="3"/>
      <c r="C22" s="3"/>
      <c r="D22" s="3"/>
      <c r="E22" s="3"/>
      <c r="H22" s="4"/>
      <c r="K22" s="3"/>
      <c r="M22" s="3"/>
    </row>
    <row r="23" spans="2:13" ht="12.75">
      <c r="B23" s="3"/>
      <c r="C23" s="3"/>
      <c r="D23" s="3"/>
      <c r="E23" s="3"/>
      <c r="H23" s="4"/>
      <c r="K23" s="3"/>
      <c r="M23" s="3"/>
    </row>
    <row r="24" spans="2:13" ht="12.75">
      <c r="B24" s="3"/>
      <c r="C24" s="3"/>
      <c r="D24" s="3"/>
      <c r="E24" s="3"/>
      <c r="H24" s="4"/>
      <c r="K24" s="3"/>
      <c r="M24" s="3"/>
    </row>
    <row r="25" spans="2:13" ht="12.75">
      <c r="B25" s="3"/>
      <c r="C25" s="3"/>
      <c r="D25" s="3"/>
      <c r="E25" s="3"/>
      <c r="H25" s="4"/>
      <c r="K25" s="3"/>
      <c r="M25" s="3"/>
    </row>
    <row r="26" spans="2:13" ht="12.75">
      <c r="B26" s="3"/>
      <c r="C26" s="3"/>
      <c r="D26" s="3"/>
      <c r="E26" s="3"/>
      <c r="H26" s="4"/>
      <c r="K26" s="3"/>
      <c r="M26" s="3"/>
    </row>
    <row r="27" spans="2:13" ht="12.75">
      <c r="B27" s="3"/>
      <c r="C27" s="3"/>
      <c r="D27" s="3"/>
      <c r="E27" s="3"/>
      <c r="H27" s="4"/>
      <c r="K27" s="3"/>
      <c r="M27" s="3"/>
    </row>
    <row r="28" spans="2:13" ht="12.75">
      <c r="B28" s="3"/>
      <c r="C28" s="3"/>
      <c r="D28" s="3"/>
      <c r="E28" s="3"/>
      <c r="H28" s="4"/>
      <c r="K28" s="3"/>
      <c r="M28" s="3"/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A34">
      <selection activeCell="A26" sqref="A26:L26"/>
    </sheetView>
  </sheetViews>
  <sheetFormatPr defaultColWidth="9.1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2.375" style="4" bestFit="1" customWidth="1"/>
    <col min="7" max="9" width="5.625" style="3" bestFit="1" customWidth="1"/>
    <col min="10" max="10" width="4.875" style="3" bestFit="1" customWidth="1"/>
    <col min="11" max="11" width="11.2539062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8" t="s">
        <v>162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1.5" customHeight="1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0</v>
      </c>
      <c r="B3" s="66" t="s">
        <v>5</v>
      </c>
      <c r="C3" s="66" t="s">
        <v>6</v>
      </c>
      <c r="D3" s="53" t="s">
        <v>9</v>
      </c>
      <c r="E3" s="53" t="s">
        <v>3</v>
      </c>
      <c r="F3" s="53" t="s">
        <v>7</v>
      </c>
      <c r="G3" s="53" t="s">
        <v>126</v>
      </c>
      <c r="H3" s="53"/>
      <c r="I3" s="53"/>
      <c r="J3" s="53"/>
      <c r="K3" s="53" t="s">
        <v>114</v>
      </c>
      <c r="L3" s="53" t="s">
        <v>2</v>
      </c>
      <c r="M3" s="55" t="s">
        <v>1</v>
      </c>
    </row>
    <row r="4" spans="1:13" s="1" customFormat="1" ht="21" customHeight="1" thickBot="1">
      <c r="A4" s="65"/>
      <c r="B4" s="54"/>
      <c r="C4" s="54"/>
      <c r="D4" s="54"/>
      <c r="E4" s="54"/>
      <c r="F4" s="54"/>
      <c r="G4" s="5">
        <v>1</v>
      </c>
      <c r="H4" s="5">
        <v>2</v>
      </c>
      <c r="I4" s="5">
        <v>3</v>
      </c>
      <c r="J4" s="5" t="s">
        <v>4</v>
      </c>
      <c r="K4" s="54"/>
      <c r="L4" s="54"/>
      <c r="M4" s="56"/>
    </row>
    <row r="5" spans="1:12" ht="15">
      <c r="A5" s="57" t="s">
        <v>163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3" ht="12.75">
      <c r="A6" s="10" t="s">
        <v>12</v>
      </c>
      <c r="B6" s="10" t="s">
        <v>164</v>
      </c>
      <c r="C6" s="10" t="s">
        <v>14</v>
      </c>
      <c r="D6" s="10" t="str">
        <f>"1,0704"</f>
        <v>1,0704</v>
      </c>
      <c r="E6" s="10" t="s">
        <v>15</v>
      </c>
      <c r="F6" s="10" t="s">
        <v>16</v>
      </c>
      <c r="G6" s="12" t="s">
        <v>26</v>
      </c>
      <c r="H6" s="12" t="s">
        <v>44</v>
      </c>
      <c r="I6" s="11" t="s">
        <v>31</v>
      </c>
      <c r="J6" s="11"/>
      <c r="K6" s="10" t="str">
        <f>"52,5"</f>
        <v>52,5</v>
      </c>
      <c r="L6" s="12" t="str">
        <f>"69,1179"</f>
        <v>69,1179</v>
      </c>
      <c r="M6" s="10" t="s">
        <v>18</v>
      </c>
    </row>
    <row r="8" spans="1:12" ht="15">
      <c r="A8" s="52" t="s">
        <v>19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 ht="12.75">
      <c r="A9" s="10" t="s">
        <v>165</v>
      </c>
      <c r="B9" s="10" t="s">
        <v>166</v>
      </c>
      <c r="C9" s="10" t="s">
        <v>167</v>
      </c>
      <c r="D9" s="10" t="str">
        <f>"0,9235"</f>
        <v>0,9235</v>
      </c>
      <c r="E9" s="10" t="s">
        <v>15</v>
      </c>
      <c r="F9" s="10" t="s">
        <v>23</v>
      </c>
      <c r="G9" s="11" t="s">
        <v>33</v>
      </c>
      <c r="H9" s="11" t="s">
        <v>33</v>
      </c>
      <c r="I9" s="12" t="s">
        <v>33</v>
      </c>
      <c r="J9" s="11"/>
      <c r="K9" s="10" t="str">
        <f>"65,0"</f>
        <v>65,0</v>
      </c>
      <c r="L9" s="12" t="str">
        <f>"62,4286"</f>
        <v>62,4286</v>
      </c>
      <c r="M9" s="10" t="s">
        <v>18</v>
      </c>
    </row>
    <row r="11" spans="1:12" ht="15">
      <c r="A11" s="52" t="s">
        <v>11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3" ht="12.75">
      <c r="A12" s="6" t="s">
        <v>168</v>
      </c>
      <c r="B12" s="6" t="s">
        <v>169</v>
      </c>
      <c r="C12" s="6" t="s">
        <v>170</v>
      </c>
      <c r="D12" s="6" t="str">
        <f>"0,8831"</f>
        <v>0,8831</v>
      </c>
      <c r="E12" s="6" t="s">
        <v>15</v>
      </c>
      <c r="F12" s="6" t="s">
        <v>23</v>
      </c>
      <c r="G12" s="8" t="s">
        <v>24</v>
      </c>
      <c r="H12" s="8" t="s">
        <v>25</v>
      </c>
      <c r="I12" s="7" t="s">
        <v>44</v>
      </c>
      <c r="J12" s="7"/>
      <c r="K12" s="6" t="str">
        <f>"45,0"</f>
        <v>45,0</v>
      </c>
      <c r="L12" s="8" t="str">
        <f>"39,7417"</f>
        <v>39,7417</v>
      </c>
      <c r="M12" s="6" t="s">
        <v>18</v>
      </c>
    </row>
    <row r="14" spans="1:12" ht="15">
      <c r="A14" s="52" t="s">
        <v>171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3" ht="12.75">
      <c r="A15" s="10" t="s">
        <v>172</v>
      </c>
      <c r="B15" s="10" t="s">
        <v>173</v>
      </c>
      <c r="C15" s="10" t="s">
        <v>174</v>
      </c>
      <c r="D15" s="10" t="str">
        <f>"0,7918"</f>
        <v>0,7918</v>
      </c>
      <c r="E15" s="10" t="s">
        <v>15</v>
      </c>
      <c r="F15" s="10" t="s">
        <v>23</v>
      </c>
      <c r="G15" s="12" t="s">
        <v>51</v>
      </c>
      <c r="H15" s="11" t="s">
        <v>74</v>
      </c>
      <c r="I15" s="11" t="s">
        <v>74</v>
      </c>
      <c r="J15" s="11"/>
      <c r="K15" s="10" t="str">
        <f>"70,0"</f>
        <v>70,0</v>
      </c>
      <c r="L15" s="12" t="str">
        <f>"55,4260"</f>
        <v>55,4260</v>
      </c>
      <c r="M15" s="10" t="s">
        <v>18</v>
      </c>
    </row>
    <row r="16" spans="1:13" ht="12.75">
      <c r="A16" s="13" t="s">
        <v>175</v>
      </c>
      <c r="B16" s="13" t="s">
        <v>176</v>
      </c>
      <c r="C16" s="13" t="s">
        <v>177</v>
      </c>
      <c r="D16" s="13" t="str">
        <f>"0,8508"</f>
        <v>0,8508</v>
      </c>
      <c r="E16" s="13" t="s">
        <v>15</v>
      </c>
      <c r="F16" s="13" t="s">
        <v>23</v>
      </c>
      <c r="G16" s="14" t="s">
        <v>178</v>
      </c>
      <c r="H16" s="15" t="s">
        <v>178</v>
      </c>
      <c r="I16" s="14" t="s">
        <v>179</v>
      </c>
      <c r="J16" s="14"/>
      <c r="K16" s="13" t="str">
        <f>"30,0"</f>
        <v>30,0</v>
      </c>
      <c r="L16" s="15" t="str">
        <f>"26,0345"</f>
        <v>26,0345</v>
      </c>
      <c r="M16" s="13" t="s">
        <v>18</v>
      </c>
    </row>
    <row r="17" spans="1:13" ht="12.75">
      <c r="A17" s="16" t="s">
        <v>180</v>
      </c>
      <c r="B17" s="16" t="s">
        <v>182</v>
      </c>
      <c r="C17" s="16" t="s">
        <v>181</v>
      </c>
      <c r="D17" s="16" t="str">
        <f>"0,8164"</f>
        <v>0,8164</v>
      </c>
      <c r="E17" s="16" t="s">
        <v>15</v>
      </c>
      <c r="F17" s="16" t="s">
        <v>23</v>
      </c>
      <c r="G17" s="18" t="s">
        <v>51</v>
      </c>
      <c r="H17" s="17" t="s">
        <v>89</v>
      </c>
      <c r="I17" s="18" t="s">
        <v>89</v>
      </c>
      <c r="J17" s="17"/>
      <c r="K17" s="16" t="str">
        <f>"72,5"</f>
        <v>72,5</v>
      </c>
      <c r="L17" s="18" t="str">
        <f>"60,2581"</f>
        <v>60,2581</v>
      </c>
      <c r="M17" s="16" t="s">
        <v>18</v>
      </c>
    </row>
    <row r="19" spans="1:12" ht="15">
      <c r="A19" s="52" t="s">
        <v>27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3" ht="12.75">
      <c r="A20" s="6" t="s">
        <v>183</v>
      </c>
      <c r="B20" s="6" t="s">
        <v>184</v>
      </c>
      <c r="C20" s="6" t="s">
        <v>185</v>
      </c>
      <c r="D20" s="6" t="str">
        <f>"0,7251"</f>
        <v>0,7251</v>
      </c>
      <c r="E20" s="6" t="s">
        <v>15</v>
      </c>
      <c r="F20" s="6" t="s">
        <v>23</v>
      </c>
      <c r="G20" s="8" t="s">
        <v>74</v>
      </c>
      <c r="H20" s="7" t="s">
        <v>78</v>
      </c>
      <c r="I20" s="8" t="s">
        <v>78</v>
      </c>
      <c r="J20" s="7"/>
      <c r="K20" s="6" t="str">
        <f>"80,0"</f>
        <v>80,0</v>
      </c>
      <c r="L20" s="8" t="str">
        <f>"58,0080"</f>
        <v>58,0080</v>
      </c>
      <c r="M20" s="6" t="s">
        <v>18</v>
      </c>
    </row>
    <row r="22" spans="1:12" ht="15">
      <c r="A22" s="52" t="s">
        <v>58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3" ht="12.75">
      <c r="A23" s="16" t="s">
        <v>186</v>
      </c>
      <c r="B23" s="16" t="s">
        <v>188</v>
      </c>
      <c r="C23" s="16" t="s">
        <v>187</v>
      </c>
      <c r="D23" s="16" t="str">
        <f>"0,6333"</f>
        <v>0,6333</v>
      </c>
      <c r="E23" s="16" t="s">
        <v>15</v>
      </c>
      <c r="F23" s="16" t="s">
        <v>23</v>
      </c>
      <c r="G23" s="18" t="s">
        <v>31</v>
      </c>
      <c r="H23" s="17" t="s">
        <v>32</v>
      </c>
      <c r="I23" s="18" t="s">
        <v>32</v>
      </c>
      <c r="J23" s="17"/>
      <c r="K23" s="16" t="str">
        <f>"60,0"</f>
        <v>60,0</v>
      </c>
      <c r="L23" s="18" t="str">
        <f>"41,4938"</f>
        <v>41,4938</v>
      </c>
      <c r="M23" s="16" t="s">
        <v>18</v>
      </c>
    </row>
    <row r="25" spans="1:12" ht="15">
      <c r="A25" s="52" t="s">
        <v>189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3" ht="12.75">
      <c r="A26" s="10" t="s">
        <v>190</v>
      </c>
      <c r="B26" s="10" t="s">
        <v>191</v>
      </c>
      <c r="C26" s="10" t="s">
        <v>192</v>
      </c>
      <c r="D26" s="10" t="str">
        <f>"0,9515"</f>
        <v>0,9515</v>
      </c>
      <c r="E26" s="10" t="s">
        <v>15</v>
      </c>
      <c r="F26" s="10" t="s">
        <v>16</v>
      </c>
      <c r="G26" s="12" t="s">
        <v>55</v>
      </c>
      <c r="H26" s="12" t="s">
        <v>36</v>
      </c>
      <c r="I26" s="12" t="s">
        <v>33</v>
      </c>
      <c r="J26" s="11"/>
      <c r="K26" s="10" t="str">
        <f>"65,0"</f>
        <v>65,0</v>
      </c>
      <c r="L26" s="12" t="str">
        <f>"76,0724"</f>
        <v>76,0724</v>
      </c>
      <c r="M26" s="10" t="s">
        <v>18</v>
      </c>
    </row>
    <row r="27" spans="1:13" ht="12.75">
      <c r="A27" s="16" t="s">
        <v>193</v>
      </c>
      <c r="B27" s="16" t="s">
        <v>194</v>
      </c>
      <c r="C27" s="16" t="s">
        <v>195</v>
      </c>
      <c r="D27" s="16" t="str">
        <f>"1,2931"</f>
        <v>1,2931</v>
      </c>
      <c r="E27" s="16" t="s">
        <v>15</v>
      </c>
      <c r="F27" s="16" t="s">
        <v>54</v>
      </c>
      <c r="G27" s="18" t="s">
        <v>31</v>
      </c>
      <c r="H27" s="17" t="s">
        <v>55</v>
      </c>
      <c r="I27" s="17" t="s">
        <v>32</v>
      </c>
      <c r="J27" s="17"/>
      <c r="K27" s="16" t="str">
        <f>"55,0"</f>
        <v>55,0</v>
      </c>
      <c r="L27" s="18" t="str">
        <f>"87,4782"</f>
        <v>87,4782</v>
      </c>
      <c r="M27" s="16" t="s">
        <v>18</v>
      </c>
    </row>
    <row r="29" spans="1:12" ht="15">
      <c r="A29" s="52" t="s">
        <v>19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3" ht="12.75">
      <c r="A30" s="6" t="s">
        <v>20</v>
      </c>
      <c r="B30" s="6" t="s">
        <v>21</v>
      </c>
      <c r="C30" s="6" t="s">
        <v>22</v>
      </c>
      <c r="D30" s="6" t="str">
        <f>"0,8756"</f>
        <v>0,8756</v>
      </c>
      <c r="E30" s="6" t="s">
        <v>15</v>
      </c>
      <c r="F30" s="6" t="s">
        <v>23</v>
      </c>
      <c r="G30" s="7" t="s">
        <v>196</v>
      </c>
      <c r="H30" s="8" t="s">
        <v>196</v>
      </c>
      <c r="I30" s="8" t="s">
        <v>197</v>
      </c>
      <c r="J30" s="7"/>
      <c r="K30" s="6" t="str">
        <f>"92,5"</f>
        <v>92,5</v>
      </c>
      <c r="L30" s="8" t="str">
        <f>"80,9976"</f>
        <v>80,9976</v>
      </c>
      <c r="M30" s="6" t="s">
        <v>18</v>
      </c>
    </row>
    <row r="32" spans="1:12" ht="15">
      <c r="A32" s="52" t="s">
        <v>11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3" ht="12.75">
      <c r="A33" s="10" t="s">
        <v>198</v>
      </c>
      <c r="B33" s="10" t="s">
        <v>199</v>
      </c>
      <c r="C33" s="10" t="s">
        <v>200</v>
      </c>
      <c r="D33" s="10" t="str">
        <f>"0,8476"</f>
        <v>0,8476</v>
      </c>
      <c r="E33" s="10" t="s">
        <v>15</v>
      </c>
      <c r="F33" s="10" t="s">
        <v>23</v>
      </c>
      <c r="G33" s="12" t="s">
        <v>33</v>
      </c>
      <c r="H33" s="12" t="s">
        <v>51</v>
      </c>
      <c r="I33" s="12" t="s">
        <v>89</v>
      </c>
      <c r="J33" s="11"/>
      <c r="K33" s="10" t="str">
        <f>"72,5"</f>
        <v>72,5</v>
      </c>
      <c r="L33" s="12" t="str">
        <f>"69,4396"</f>
        <v>69,4396</v>
      </c>
      <c r="M33" s="10" t="s">
        <v>18</v>
      </c>
    </row>
    <row r="34" spans="1:13" ht="12.75">
      <c r="A34" s="13" t="s">
        <v>201</v>
      </c>
      <c r="B34" s="13" t="s">
        <v>202</v>
      </c>
      <c r="C34" s="13" t="s">
        <v>203</v>
      </c>
      <c r="D34" s="13" t="str">
        <f>"0,8564"</f>
        <v>0,8564</v>
      </c>
      <c r="E34" s="13" t="s">
        <v>15</v>
      </c>
      <c r="F34" s="13" t="s">
        <v>23</v>
      </c>
      <c r="G34" s="15" t="s">
        <v>51</v>
      </c>
      <c r="H34" s="14" t="s">
        <v>89</v>
      </c>
      <c r="I34" s="14" t="s">
        <v>89</v>
      </c>
      <c r="J34" s="14"/>
      <c r="K34" s="13" t="str">
        <f>"70,0"</f>
        <v>70,0</v>
      </c>
      <c r="L34" s="15" t="str">
        <f>"67,7412"</f>
        <v>67,7412</v>
      </c>
      <c r="M34" s="13" t="s">
        <v>18</v>
      </c>
    </row>
    <row r="35" spans="1:13" ht="12.75">
      <c r="A35" s="16" t="s">
        <v>204</v>
      </c>
      <c r="B35" s="16" t="s">
        <v>205</v>
      </c>
      <c r="C35" s="16" t="s">
        <v>206</v>
      </c>
      <c r="D35" s="16" t="str">
        <f>"0,8278"</f>
        <v>0,8278</v>
      </c>
      <c r="E35" s="16" t="s">
        <v>15</v>
      </c>
      <c r="F35" s="16" t="s">
        <v>23</v>
      </c>
      <c r="G35" s="18" t="s">
        <v>159</v>
      </c>
      <c r="H35" s="17" t="s">
        <v>142</v>
      </c>
      <c r="I35" s="17" t="s">
        <v>153</v>
      </c>
      <c r="J35" s="17"/>
      <c r="K35" s="16" t="str">
        <f>"125,0"</f>
        <v>125,0</v>
      </c>
      <c r="L35" s="18" t="str">
        <f>"103,4812"</f>
        <v>103,4812</v>
      </c>
      <c r="M35" s="16" t="s">
        <v>18</v>
      </c>
    </row>
    <row r="37" spans="1:12" ht="15">
      <c r="A37" s="52" t="s">
        <v>171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3" ht="12.75">
      <c r="A38" s="6" t="s">
        <v>207</v>
      </c>
      <c r="B38" s="6" t="s">
        <v>208</v>
      </c>
      <c r="C38" s="6" t="s">
        <v>209</v>
      </c>
      <c r="D38" s="6" t="str">
        <f>"0,7322"</f>
        <v>0,7322</v>
      </c>
      <c r="E38" s="6" t="s">
        <v>15</v>
      </c>
      <c r="F38" s="6" t="s">
        <v>23</v>
      </c>
      <c r="G38" s="8" t="s">
        <v>210</v>
      </c>
      <c r="H38" s="7" t="s">
        <v>211</v>
      </c>
      <c r="I38" s="8" t="s">
        <v>211</v>
      </c>
      <c r="J38" s="7"/>
      <c r="K38" s="6" t="str">
        <f>"127,5"</f>
        <v>127,5</v>
      </c>
      <c r="L38" s="8" t="str">
        <f>"93,3555"</f>
        <v>93,3555</v>
      </c>
      <c r="M38" s="6" t="s">
        <v>18</v>
      </c>
    </row>
    <row r="40" spans="1:12" ht="15">
      <c r="A40" s="52" t="s">
        <v>27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3" ht="12.75">
      <c r="A41" s="10" t="s">
        <v>212</v>
      </c>
      <c r="B41" s="10" t="s">
        <v>213</v>
      </c>
      <c r="C41" s="10" t="s">
        <v>214</v>
      </c>
      <c r="D41" s="10" t="str">
        <f>"0,6662"</f>
        <v>0,6662</v>
      </c>
      <c r="E41" s="10" t="s">
        <v>15</v>
      </c>
      <c r="F41" s="10" t="s">
        <v>23</v>
      </c>
      <c r="G41" s="12" t="s">
        <v>159</v>
      </c>
      <c r="H41" s="12" t="s">
        <v>152</v>
      </c>
      <c r="I41" s="12" t="s">
        <v>153</v>
      </c>
      <c r="J41" s="11"/>
      <c r="K41" s="10" t="str">
        <f>"137,5"</f>
        <v>137,5</v>
      </c>
      <c r="L41" s="12" t="str">
        <f>"98,9381"</f>
        <v>98,9381</v>
      </c>
      <c r="M41" s="10" t="s">
        <v>18</v>
      </c>
    </row>
    <row r="42" spans="1:13" ht="12.75">
      <c r="A42" s="13" t="s">
        <v>215</v>
      </c>
      <c r="B42" s="13" t="s">
        <v>216</v>
      </c>
      <c r="C42" s="13" t="s">
        <v>217</v>
      </c>
      <c r="D42" s="13" t="str">
        <f>"0,6683"</f>
        <v>0,6683</v>
      </c>
      <c r="E42" s="13" t="s">
        <v>15</v>
      </c>
      <c r="F42" s="13" t="s">
        <v>23</v>
      </c>
      <c r="G42" s="15" t="s">
        <v>218</v>
      </c>
      <c r="H42" s="15" t="s">
        <v>210</v>
      </c>
      <c r="I42" s="15" t="s">
        <v>159</v>
      </c>
      <c r="J42" s="14"/>
      <c r="K42" s="13" t="str">
        <f>"125,0"</f>
        <v>125,0</v>
      </c>
      <c r="L42" s="15" t="str">
        <f>"84,3792"</f>
        <v>84,3792</v>
      </c>
      <c r="M42" s="13" t="s">
        <v>18</v>
      </c>
    </row>
    <row r="43" spans="1:13" ht="12.75">
      <c r="A43" s="13" t="s">
        <v>219</v>
      </c>
      <c r="B43" s="13" t="s">
        <v>220</v>
      </c>
      <c r="C43" s="13" t="s">
        <v>221</v>
      </c>
      <c r="D43" s="13" t="str">
        <f>"0,6673"</f>
        <v>0,6673</v>
      </c>
      <c r="E43" s="13" t="s">
        <v>15</v>
      </c>
      <c r="F43" s="13" t="s">
        <v>23</v>
      </c>
      <c r="G43" s="15" t="s">
        <v>222</v>
      </c>
      <c r="H43" s="15" t="s">
        <v>210</v>
      </c>
      <c r="I43" s="15" t="s">
        <v>159</v>
      </c>
      <c r="J43" s="14"/>
      <c r="K43" s="13" t="str">
        <f>"125,0"</f>
        <v>125,0</v>
      </c>
      <c r="L43" s="15" t="str">
        <f>"83,4125"</f>
        <v>83,4125</v>
      </c>
      <c r="M43" s="13" t="s">
        <v>18</v>
      </c>
    </row>
    <row r="44" spans="1:13" ht="12.75">
      <c r="A44" s="13" t="s">
        <v>223</v>
      </c>
      <c r="B44" s="13" t="s">
        <v>224</v>
      </c>
      <c r="C44" s="13" t="s">
        <v>225</v>
      </c>
      <c r="D44" s="13" t="str">
        <f>"0,6809"</f>
        <v>0,6809</v>
      </c>
      <c r="E44" s="13" t="s">
        <v>15</v>
      </c>
      <c r="F44" s="13" t="s">
        <v>23</v>
      </c>
      <c r="G44" s="14" t="s">
        <v>196</v>
      </c>
      <c r="H44" s="14" t="s">
        <v>226</v>
      </c>
      <c r="I44" s="15" t="s">
        <v>226</v>
      </c>
      <c r="J44" s="14"/>
      <c r="K44" s="13" t="str">
        <f>"95,0"</f>
        <v>95,0</v>
      </c>
      <c r="L44" s="15" t="str">
        <f>"65,3276"</f>
        <v>65,3276</v>
      </c>
      <c r="M44" s="13" t="s">
        <v>18</v>
      </c>
    </row>
    <row r="45" spans="1:13" ht="12.75">
      <c r="A45" s="13" t="s">
        <v>227</v>
      </c>
      <c r="B45" s="13" t="s">
        <v>228</v>
      </c>
      <c r="C45" s="13" t="s">
        <v>229</v>
      </c>
      <c r="D45" s="13" t="str">
        <f>"0,6726"</f>
        <v>0,6726</v>
      </c>
      <c r="E45" s="13" t="s">
        <v>15</v>
      </c>
      <c r="F45" s="13" t="s">
        <v>23</v>
      </c>
      <c r="G45" s="15" t="s">
        <v>230</v>
      </c>
      <c r="H45" s="15" t="s">
        <v>218</v>
      </c>
      <c r="I45" s="14" t="s">
        <v>210</v>
      </c>
      <c r="J45" s="14"/>
      <c r="K45" s="13" t="str">
        <f>"110,0"</f>
        <v>110,0</v>
      </c>
      <c r="L45" s="15" t="str">
        <f>"73,9915"</f>
        <v>73,9915</v>
      </c>
      <c r="M45" s="13" t="s">
        <v>18</v>
      </c>
    </row>
    <row r="46" spans="1:13" ht="12.75">
      <c r="A46" s="13" t="s">
        <v>231</v>
      </c>
      <c r="B46" s="13" t="s">
        <v>232</v>
      </c>
      <c r="C46" s="13" t="s">
        <v>233</v>
      </c>
      <c r="D46" s="13" t="str">
        <f>"0,6824"</f>
        <v>0,6824</v>
      </c>
      <c r="E46" s="13" t="s">
        <v>15</v>
      </c>
      <c r="F46" s="13" t="s">
        <v>23</v>
      </c>
      <c r="G46" s="15" t="s">
        <v>226</v>
      </c>
      <c r="H46" s="15" t="s">
        <v>230</v>
      </c>
      <c r="I46" s="15" t="s">
        <v>234</v>
      </c>
      <c r="J46" s="14"/>
      <c r="K46" s="13" t="str">
        <f>"105,0"</f>
        <v>105,0</v>
      </c>
      <c r="L46" s="15" t="str">
        <f>"71,6520"</f>
        <v>71,6520</v>
      </c>
      <c r="M46" s="13" t="s">
        <v>18</v>
      </c>
    </row>
    <row r="47" spans="1:13" ht="12.75">
      <c r="A47" s="16" t="s">
        <v>235</v>
      </c>
      <c r="B47" s="16" t="s">
        <v>236</v>
      </c>
      <c r="C47" s="16" t="s">
        <v>237</v>
      </c>
      <c r="D47" s="16" t="str">
        <f>"0,6756"</f>
        <v>0,6756</v>
      </c>
      <c r="E47" s="16" t="s">
        <v>15</v>
      </c>
      <c r="F47" s="16" t="s">
        <v>23</v>
      </c>
      <c r="G47" s="17" t="s">
        <v>234</v>
      </c>
      <c r="H47" s="17" t="s">
        <v>234</v>
      </c>
      <c r="I47" s="17" t="s">
        <v>234</v>
      </c>
      <c r="J47" s="17"/>
      <c r="K47" s="16" t="str">
        <f>"0.00"</f>
        <v>0.00</v>
      </c>
      <c r="L47" s="18" t="str">
        <f>"0,0000"</f>
        <v>0,0000</v>
      </c>
      <c r="M47" s="16" t="s">
        <v>18</v>
      </c>
    </row>
    <row r="49" spans="1:12" ht="15">
      <c r="A49" s="52" t="s">
        <v>45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3" ht="12.75">
      <c r="A50" s="10" t="s">
        <v>239</v>
      </c>
      <c r="B50" s="10" t="s">
        <v>240</v>
      </c>
      <c r="C50" s="10" t="s">
        <v>241</v>
      </c>
      <c r="D50" s="10" t="str">
        <f>"0,6461"</f>
        <v>0,6461</v>
      </c>
      <c r="E50" s="10" t="s">
        <v>15</v>
      </c>
      <c r="F50" s="10" t="s">
        <v>242</v>
      </c>
      <c r="G50" s="12" t="s">
        <v>218</v>
      </c>
      <c r="H50" s="12" t="s">
        <v>222</v>
      </c>
      <c r="I50" s="11" t="s">
        <v>210</v>
      </c>
      <c r="J50" s="11"/>
      <c r="K50" s="10" t="str">
        <f>"115,0"</f>
        <v>115,0</v>
      </c>
      <c r="L50" s="12" t="str">
        <f>"78,7596"</f>
        <v>78,7596</v>
      </c>
      <c r="M50" s="10" t="s">
        <v>18</v>
      </c>
    </row>
    <row r="51" spans="1:13" ht="12.75">
      <c r="A51" s="13" t="s">
        <v>243</v>
      </c>
      <c r="B51" s="13" t="s">
        <v>244</v>
      </c>
      <c r="C51" s="13" t="s">
        <v>245</v>
      </c>
      <c r="D51" s="13" t="str">
        <f>"0,6442"</f>
        <v>0,6442</v>
      </c>
      <c r="E51" s="13" t="s">
        <v>15</v>
      </c>
      <c r="F51" s="13" t="s">
        <v>23</v>
      </c>
      <c r="G51" s="15" t="s">
        <v>159</v>
      </c>
      <c r="H51" s="15" t="s">
        <v>152</v>
      </c>
      <c r="I51" s="15" t="s">
        <v>153</v>
      </c>
      <c r="J51" s="14"/>
      <c r="K51" s="13" t="str">
        <f>"137,5"</f>
        <v>137,5</v>
      </c>
      <c r="L51" s="15" t="str">
        <f>"88,5775"</f>
        <v>88,5775</v>
      </c>
      <c r="M51" s="13" t="s">
        <v>18</v>
      </c>
    </row>
    <row r="52" spans="1:13" ht="12.75">
      <c r="A52" s="13" t="s">
        <v>246</v>
      </c>
      <c r="B52" s="13" t="s">
        <v>247</v>
      </c>
      <c r="C52" s="13" t="s">
        <v>248</v>
      </c>
      <c r="D52" s="13" t="str">
        <f>"0,6318"</f>
        <v>0,6318</v>
      </c>
      <c r="E52" s="13" t="s">
        <v>15</v>
      </c>
      <c r="F52" s="13" t="s">
        <v>23</v>
      </c>
      <c r="G52" s="15" t="s">
        <v>210</v>
      </c>
      <c r="H52" s="15" t="s">
        <v>136</v>
      </c>
      <c r="I52" s="14" t="s">
        <v>142</v>
      </c>
      <c r="J52" s="14"/>
      <c r="K52" s="13" t="str">
        <f>"130,0"</f>
        <v>130,0</v>
      </c>
      <c r="L52" s="15" t="str">
        <f>"82,1340"</f>
        <v>82,1340</v>
      </c>
      <c r="M52" s="13" t="s">
        <v>18</v>
      </c>
    </row>
    <row r="53" spans="1:13" ht="12.75">
      <c r="A53" s="13" t="s">
        <v>249</v>
      </c>
      <c r="B53" s="13" t="s">
        <v>250</v>
      </c>
      <c r="C53" s="13" t="s">
        <v>251</v>
      </c>
      <c r="D53" s="13" t="str">
        <f>"0,6373"</f>
        <v>0,6373</v>
      </c>
      <c r="E53" s="13" t="s">
        <v>15</v>
      </c>
      <c r="F53" s="13" t="s">
        <v>23</v>
      </c>
      <c r="G53" s="15" t="s">
        <v>234</v>
      </c>
      <c r="H53" s="15" t="s">
        <v>222</v>
      </c>
      <c r="I53" s="14" t="s">
        <v>252</v>
      </c>
      <c r="J53" s="14"/>
      <c r="K53" s="13" t="str">
        <f>"115,0"</f>
        <v>115,0</v>
      </c>
      <c r="L53" s="15" t="str">
        <f>"73,2895"</f>
        <v>73,2895</v>
      </c>
      <c r="M53" s="13" t="s">
        <v>18</v>
      </c>
    </row>
    <row r="54" spans="1:13" ht="12.75">
      <c r="A54" s="16" t="s">
        <v>253</v>
      </c>
      <c r="B54" s="16" t="s">
        <v>254</v>
      </c>
      <c r="C54" s="16" t="s">
        <v>255</v>
      </c>
      <c r="D54" s="16" t="str">
        <f>"0,6367"</f>
        <v>0,6367</v>
      </c>
      <c r="E54" s="16" t="s">
        <v>15</v>
      </c>
      <c r="F54" s="16" t="s">
        <v>23</v>
      </c>
      <c r="G54" s="18" t="s">
        <v>222</v>
      </c>
      <c r="H54" s="18" t="s">
        <v>256</v>
      </c>
      <c r="I54" s="17" t="s">
        <v>210</v>
      </c>
      <c r="J54" s="17"/>
      <c r="K54" s="16" t="str">
        <f>"117,5"</f>
        <v>117,5</v>
      </c>
      <c r="L54" s="18" t="str">
        <f>"75,0367"</f>
        <v>75,0367</v>
      </c>
      <c r="M54" s="16" t="s">
        <v>18</v>
      </c>
    </row>
    <row r="56" spans="1:12" ht="15">
      <c r="A56" s="52" t="s">
        <v>58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3" ht="12.75">
      <c r="A57" s="10" t="s">
        <v>257</v>
      </c>
      <c r="B57" s="10" t="s">
        <v>258</v>
      </c>
      <c r="C57" s="10" t="s">
        <v>259</v>
      </c>
      <c r="D57" s="10" t="str">
        <f>"0,6015"</f>
        <v>0,6015</v>
      </c>
      <c r="E57" s="10" t="s">
        <v>15</v>
      </c>
      <c r="F57" s="10" t="s">
        <v>23</v>
      </c>
      <c r="G57" s="12" t="s">
        <v>218</v>
      </c>
      <c r="H57" s="12" t="s">
        <v>222</v>
      </c>
      <c r="I57" s="11" t="s">
        <v>210</v>
      </c>
      <c r="J57" s="11"/>
      <c r="K57" s="10" t="str">
        <f>"115,0"</f>
        <v>115,0</v>
      </c>
      <c r="L57" s="12" t="str">
        <f>"78,1714"</f>
        <v>78,1714</v>
      </c>
      <c r="M57" s="10" t="s">
        <v>18</v>
      </c>
    </row>
    <row r="58" spans="1:13" ht="12.75">
      <c r="A58" s="13" t="s">
        <v>260</v>
      </c>
      <c r="B58" s="13" t="s">
        <v>261</v>
      </c>
      <c r="C58" s="13" t="s">
        <v>141</v>
      </c>
      <c r="D58" s="13" t="str">
        <f>"0,5863"</f>
        <v>0,5863</v>
      </c>
      <c r="E58" s="13" t="s">
        <v>15</v>
      </c>
      <c r="F58" s="13" t="s">
        <v>23</v>
      </c>
      <c r="G58" s="15" t="s">
        <v>148</v>
      </c>
      <c r="H58" s="15" t="s">
        <v>262</v>
      </c>
      <c r="I58" s="14" t="s">
        <v>263</v>
      </c>
      <c r="J58" s="14"/>
      <c r="K58" s="13" t="str">
        <f>"170,0"</f>
        <v>170,0</v>
      </c>
      <c r="L58" s="15" t="str">
        <f>"99,6710"</f>
        <v>99,6710</v>
      </c>
      <c r="M58" s="13" t="s">
        <v>18</v>
      </c>
    </row>
    <row r="59" spans="1:13" ht="12.75">
      <c r="A59" s="13" t="s">
        <v>264</v>
      </c>
      <c r="B59" s="13" t="s">
        <v>265</v>
      </c>
      <c r="C59" s="13" t="s">
        <v>266</v>
      </c>
      <c r="D59" s="13" t="str">
        <f>"0,6004"</f>
        <v>0,6004</v>
      </c>
      <c r="E59" s="13" t="s">
        <v>15</v>
      </c>
      <c r="F59" s="13" t="s">
        <v>23</v>
      </c>
      <c r="G59" s="15" t="s">
        <v>131</v>
      </c>
      <c r="H59" s="14" t="s">
        <v>267</v>
      </c>
      <c r="I59" s="15" t="s">
        <v>267</v>
      </c>
      <c r="J59" s="14"/>
      <c r="K59" s="13" t="str">
        <f>"160,0"</f>
        <v>160,0</v>
      </c>
      <c r="L59" s="15" t="str">
        <f>"96,0640"</f>
        <v>96,0640</v>
      </c>
      <c r="M59" s="13" t="s">
        <v>18</v>
      </c>
    </row>
    <row r="60" spans="1:13" ht="12.75">
      <c r="A60" s="13" t="s">
        <v>268</v>
      </c>
      <c r="B60" s="13" t="s">
        <v>269</v>
      </c>
      <c r="C60" s="13" t="s">
        <v>270</v>
      </c>
      <c r="D60" s="13" t="str">
        <f>"0,6093"</f>
        <v>0,6093</v>
      </c>
      <c r="E60" s="13" t="s">
        <v>15</v>
      </c>
      <c r="F60" s="13" t="s">
        <v>23</v>
      </c>
      <c r="G60" s="14" t="s">
        <v>160</v>
      </c>
      <c r="H60" s="15" t="s">
        <v>160</v>
      </c>
      <c r="I60" s="15" t="s">
        <v>130</v>
      </c>
      <c r="J60" s="14"/>
      <c r="K60" s="13" t="str">
        <f>"145,0"</f>
        <v>145,0</v>
      </c>
      <c r="L60" s="15" t="str">
        <f>"88,3485"</f>
        <v>88,3485</v>
      </c>
      <c r="M60" s="13" t="s">
        <v>18</v>
      </c>
    </row>
    <row r="61" spans="1:13" ht="12.75">
      <c r="A61" s="13" t="s">
        <v>271</v>
      </c>
      <c r="B61" s="13" t="s">
        <v>272</v>
      </c>
      <c r="C61" s="13" t="s">
        <v>273</v>
      </c>
      <c r="D61" s="13" t="str">
        <f>"0,5952"</f>
        <v>0,5952</v>
      </c>
      <c r="E61" s="13" t="s">
        <v>15</v>
      </c>
      <c r="F61" s="13" t="s">
        <v>23</v>
      </c>
      <c r="G61" s="15" t="s">
        <v>142</v>
      </c>
      <c r="H61" s="15" t="s">
        <v>137</v>
      </c>
      <c r="I61" s="14" t="s">
        <v>138</v>
      </c>
      <c r="J61" s="14"/>
      <c r="K61" s="13" t="str">
        <f>"142,5"</f>
        <v>142,5</v>
      </c>
      <c r="L61" s="15" t="str">
        <f>"84,8160"</f>
        <v>84,8160</v>
      </c>
      <c r="M61" s="13" t="s">
        <v>18</v>
      </c>
    </row>
    <row r="62" spans="1:13" ht="12.75">
      <c r="A62" s="13" t="s">
        <v>274</v>
      </c>
      <c r="B62" s="13" t="s">
        <v>275</v>
      </c>
      <c r="C62" s="13" t="s">
        <v>276</v>
      </c>
      <c r="D62" s="13" t="str">
        <f>"0,6155"</f>
        <v>0,6155</v>
      </c>
      <c r="E62" s="13" t="s">
        <v>15</v>
      </c>
      <c r="F62" s="13" t="s">
        <v>23</v>
      </c>
      <c r="G62" s="15" t="s">
        <v>277</v>
      </c>
      <c r="H62" s="15" t="s">
        <v>222</v>
      </c>
      <c r="I62" s="14" t="s">
        <v>252</v>
      </c>
      <c r="J62" s="14"/>
      <c r="K62" s="13" t="str">
        <f>"115,0"</f>
        <v>115,0</v>
      </c>
      <c r="L62" s="15" t="str">
        <f>"70,7768"</f>
        <v>70,7768</v>
      </c>
      <c r="M62" s="13" t="s">
        <v>18</v>
      </c>
    </row>
    <row r="63" spans="1:13" ht="12.75">
      <c r="A63" s="16" t="s">
        <v>278</v>
      </c>
      <c r="B63" s="16" t="s">
        <v>279</v>
      </c>
      <c r="C63" s="16" t="s">
        <v>273</v>
      </c>
      <c r="D63" s="16" t="str">
        <f>"0,5952"</f>
        <v>0,5952</v>
      </c>
      <c r="E63" s="16" t="s">
        <v>15</v>
      </c>
      <c r="F63" s="16" t="s">
        <v>23</v>
      </c>
      <c r="G63" s="18" t="s">
        <v>142</v>
      </c>
      <c r="H63" s="18" t="s">
        <v>137</v>
      </c>
      <c r="I63" s="17" t="s">
        <v>138</v>
      </c>
      <c r="J63" s="17"/>
      <c r="K63" s="16" t="str">
        <f>"142,5"</f>
        <v>142,5</v>
      </c>
      <c r="L63" s="18" t="str">
        <f>"92,6191"</f>
        <v>92,6191</v>
      </c>
      <c r="M63" s="16" t="s">
        <v>18</v>
      </c>
    </row>
    <row r="65" spans="1:12" ht="15">
      <c r="A65" s="52" t="s">
        <v>70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3" ht="12.75">
      <c r="A66" s="10" t="s">
        <v>280</v>
      </c>
      <c r="B66" s="10" t="s">
        <v>281</v>
      </c>
      <c r="C66" s="10" t="s">
        <v>282</v>
      </c>
      <c r="D66" s="10" t="str">
        <f>"0,5654"</f>
        <v>0,5654</v>
      </c>
      <c r="E66" s="10" t="s">
        <v>15</v>
      </c>
      <c r="F66" s="10" t="s">
        <v>23</v>
      </c>
      <c r="G66" s="12" t="s">
        <v>142</v>
      </c>
      <c r="H66" s="12" t="s">
        <v>137</v>
      </c>
      <c r="I66" s="12" t="s">
        <v>131</v>
      </c>
      <c r="J66" s="11"/>
      <c r="K66" s="10" t="str">
        <f>"150,0"</f>
        <v>150,0</v>
      </c>
      <c r="L66" s="12" t="str">
        <f>"84,8100"</f>
        <v>84,8100</v>
      </c>
      <c r="M66" s="10" t="s">
        <v>18</v>
      </c>
    </row>
    <row r="67" spans="1:13" ht="12.75">
      <c r="A67" s="13" t="s">
        <v>283</v>
      </c>
      <c r="B67" s="13" t="s">
        <v>284</v>
      </c>
      <c r="C67" s="13" t="s">
        <v>285</v>
      </c>
      <c r="D67" s="13" t="str">
        <f>"0,5549"</f>
        <v>0,5549</v>
      </c>
      <c r="E67" s="13" t="s">
        <v>15</v>
      </c>
      <c r="F67" s="13" t="s">
        <v>286</v>
      </c>
      <c r="G67" s="15" t="s">
        <v>287</v>
      </c>
      <c r="H67" s="15" t="s">
        <v>288</v>
      </c>
      <c r="I67" s="14" t="s">
        <v>289</v>
      </c>
      <c r="J67" s="14"/>
      <c r="K67" s="13" t="str">
        <f>"185,0"</f>
        <v>185,0</v>
      </c>
      <c r="L67" s="15" t="str">
        <f>"102,6565"</f>
        <v>102,6565</v>
      </c>
      <c r="M67" s="13" t="s">
        <v>18</v>
      </c>
    </row>
    <row r="68" spans="1:13" ht="12.75">
      <c r="A68" s="13" t="s">
        <v>75</v>
      </c>
      <c r="B68" s="13" t="s">
        <v>76</v>
      </c>
      <c r="C68" s="13" t="s">
        <v>77</v>
      </c>
      <c r="D68" s="13" t="str">
        <f>"0,5599"</f>
        <v>0,5599</v>
      </c>
      <c r="E68" s="13" t="s">
        <v>15</v>
      </c>
      <c r="F68" s="13" t="s">
        <v>23</v>
      </c>
      <c r="G68" s="15" t="s">
        <v>148</v>
      </c>
      <c r="H68" s="15" t="s">
        <v>290</v>
      </c>
      <c r="I68" s="14" t="s">
        <v>291</v>
      </c>
      <c r="J68" s="14"/>
      <c r="K68" s="13" t="str">
        <f>"165,0"</f>
        <v>165,0</v>
      </c>
      <c r="L68" s="15" t="str">
        <f>"92,3835"</f>
        <v>92,3835</v>
      </c>
      <c r="M68" s="13" t="s">
        <v>18</v>
      </c>
    </row>
    <row r="69" spans="1:13" ht="12.75">
      <c r="A69" s="13" t="s">
        <v>292</v>
      </c>
      <c r="B69" s="13" t="s">
        <v>293</v>
      </c>
      <c r="C69" s="13" t="s">
        <v>294</v>
      </c>
      <c r="D69" s="13" t="str">
        <f>"0,5586"</f>
        <v>0,5586</v>
      </c>
      <c r="E69" s="13" t="s">
        <v>15</v>
      </c>
      <c r="F69" s="13" t="s">
        <v>23</v>
      </c>
      <c r="G69" s="15" t="s">
        <v>137</v>
      </c>
      <c r="H69" s="14" t="s">
        <v>131</v>
      </c>
      <c r="I69" s="14" t="s">
        <v>131</v>
      </c>
      <c r="J69" s="14"/>
      <c r="K69" s="13" t="str">
        <f>"142,5"</f>
        <v>142,5</v>
      </c>
      <c r="L69" s="15" t="str">
        <f>"79,6005"</f>
        <v>79,6005</v>
      </c>
      <c r="M69" s="13" t="s">
        <v>18</v>
      </c>
    </row>
    <row r="70" spans="1:13" ht="12.75">
      <c r="A70" s="13" t="s">
        <v>295</v>
      </c>
      <c r="B70" s="13" t="s">
        <v>296</v>
      </c>
      <c r="C70" s="13" t="s">
        <v>297</v>
      </c>
      <c r="D70" s="13" t="str">
        <f>"0,5553"</f>
        <v>0,5553</v>
      </c>
      <c r="E70" s="13" t="s">
        <v>15</v>
      </c>
      <c r="F70" s="13" t="s">
        <v>23</v>
      </c>
      <c r="G70" s="15" t="s">
        <v>131</v>
      </c>
      <c r="H70" s="15" t="s">
        <v>147</v>
      </c>
      <c r="I70" s="15" t="s">
        <v>148</v>
      </c>
      <c r="J70" s="14"/>
      <c r="K70" s="13" t="str">
        <f>"162,5"</f>
        <v>162,5</v>
      </c>
      <c r="L70" s="15" t="str">
        <f>"91,0484"</f>
        <v>91,0484</v>
      </c>
      <c r="M70" s="13" t="s">
        <v>18</v>
      </c>
    </row>
    <row r="71" spans="1:13" ht="12.75">
      <c r="A71" s="13" t="s">
        <v>149</v>
      </c>
      <c r="B71" s="13" t="s">
        <v>156</v>
      </c>
      <c r="C71" s="13" t="s">
        <v>151</v>
      </c>
      <c r="D71" s="13" t="str">
        <f>"0,5712"</f>
        <v>0,5712</v>
      </c>
      <c r="E71" s="13" t="s">
        <v>15</v>
      </c>
      <c r="F71" s="13" t="s">
        <v>23</v>
      </c>
      <c r="G71" s="14" t="s">
        <v>137</v>
      </c>
      <c r="H71" s="14" t="s">
        <v>137</v>
      </c>
      <c r="I71" s="15" t="s">
        <v>137</v>
      </c>
      <c r="J71" s="14"/>
      <c r="K71" s="13" t="str">
        <f>"142,5"</f>
        <v>142,5</v>
      </c>
      <c r="L71" s="15" t="str">
        <f>"81,6402"</f>
        <v>81,6402</v>
      </c>
      <c r="M71" s="13" t="s">
        <v>18</v>
      </c>
    </row>
    <row r="72" spans="1:13" ht="12.75">
      <c r="A72" s="13" t="s">
        <v>298</v>
      </c>
      <c r="B72" s="13" t="s">
        <v>299</v>
      </c>
      <c r="C72" s="13" t="s">
        <v>300</v>
      </c>
      <c r="D72" s="13" t="str">
        <f>"0,5587"</f>
        <v>0,5587</v>
      </c>
      <c r="E72" s="13" t="s">
        <v>15</v>
      </c>
      <c r="F72" s="13" t="s">
        <v>23</v>
      </c>
      <c r="G72" s="14" t="s">
        <v>234</v>
      </c>
      <c r="H72" s="15" t="s">
        <v>234</v>
      </c>
      <c r="I72" s="14" t="s">
        <v>218</v>
      </c>
      <c r="J72" s="14"/>
      <c r="K72" s="13" t="str">
        <f>"105,0"</f>
        <v>105,0</v>
      </c>
      <c r="L72" s="15" t="str">
        <f>"61,4848"</f>
        <v>61,4848</v>
      </c>
      <c r="M72" s="13" t="s">
        <v>18</v>
      </c>
    </row>
    <row r="73" spans="1:13" ht="12.75">
      <c r="A73" s="16" t="s">
        <v>301</v>
      </c>
      <c r="B73" s="16" t="s">
        <v>302</v>
      </c>
      <c r="C73" s="16" t="s">
        <v>303</v>
      </c>
      <c r="D73" s="16" t="str">
        <f>"0,5678"</f>
        <v>0,5678</v>
      </c>
      <c r="E73" s="16" t="s">
        <v>15</v>
      </c>
      <c r="F73" s="16" t="s">
        <v>23</v>
      </c>
      <c r="G73" s="18" t="s">
        <v>136</v>
      </c>
      <c r="H73" s="18" t="s">
        <v>142</v>
      </c>
      <c r="I73" s="17" t="s">
        <v>160</v>
      </c>
      <c r="J73" s="17"/>
      <c r="K73" s="16" t="str">
        <f>"135,0"</f>
        <v>135,0</v>
      </c>
      <c r="L73" s="18" t="str">
        <f>"138,7419"</f>
        <v>138,7419</v>
      </c>
      <c r="M73" s="16" t="s">
        <v>18</v>
      </c>
    </row>
    <row r="75" spans="1:12" ht="15">
      <c r="A75" s="52" t="s">
        <v>85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3" ht="12.75">
      <c r="A76" s="10" t="s">
        <v>86</v>
      </c>
      <c r="B76" s="10" t="s">
        <v>87</v>
      </c>
      <c r="C76" s="10" t="s">
        <v>88</v>
      </c>
      <c r="D76" s="10" t="str">
        <f>"0,5368"</f>
        <v>0,5368</v>
      </c>
      <c r="E76" s="10" t="s">
        <v>15</v>
      </c>
      <c r="F76" s="10" t="s">
        <v>23</v>
      </c>
      <c r="G76" s="12" t="s">
        <v>147</v>
      </c>
      <c r="H76" s="11" t="s">
        <v>291</v>
      </c>
      <c r="I76" s="12" t="s">
        <v>291</v>
      </c>
      <c r="J76" s="11"/>
      <c r="K76" s="10" t="str">
        <f>"167,5"</f>
        <v>167,5</v>
      </c>
      <c r="L76" s="12" t="str">
        <f>"89,9140"</f>
        <v>89,9140</v>
      </c>
      <c r="M76" s="10" t="s">
        <v>18</v>
      </c>
    </row>
    <row r="77" spans="1:13" ht="12.75">
      <c r="A77" s="13" t="s">
        <v>304</v>
      </c>
      <c r="B77" s="13" t="s">
        <v>305</v>
      </c>
      <c r="C77" s="13" t="s">
        <v>306</v>
      </c>
      <c r="D77" s="13" t="str">
        <f>"0,5389"</f>
        <v>0,5389</v>
      </c>
      <c r="E77" s="13" t="s">
        <v>15</v>
      </c>
      <c r="F77" s="13" t="s">
        <v>23</v>
      </c>
      <c r="G77" s="15" t="s">
        <v>142</v>
      </c>
      <c r="H77" s="14" t="s">
        <v>267</v>
      </c>
      <c r="I77" s="14" t="s">
        <v>267</v>
      </c>
      <c r="J77" s="14"/>
      <c r="K77" s="13" t="str">
        <f>"135,0"</f>
        <v>135,0</v>
      </c>
      <c r="L77" s="15" t="str">
        <f>"72,7515"</f>
        <v>72,7515</v>
      </c>
      <c r="M77" s="13" t="s">
        <v>18</v>
      </c>
    </row>
    <row r="78" spans="1:13" ht="12.75">
      <c r="A78" s="16" t="s">
        <v>307</v>
      </c>
      <c r="B78" s="16" t="s">
        <v>308</v>
      </c>
      <c r="C78" s="16" t="s">
        <v>306</v>
      </c>
      <c r="D78" s="16" t="str">
        <f>"0,5389"</f>
        <v>0,5389</v>
      </c>
      <c r="E78" s="16" t="s">
        <v>15</v>
      </c>
      <c r="F78" s="16" t="s">
        <v>23</v>
      </c>
      <c r="G78" s="18" t="s">
        <v>142</v>
      </c>
      <c r="H78" s="17" t="s">
        <v>267</v>
      </c>
      <c r="I78" s="17" t="s">
        <v>267</v>
      </c>
      <c r="J78" s="17"/>
      <c r="K78" s="16" t="str">
        <f>"135,0"</f>
        <v>135,0</v>
      </c>
      <c r="L78" s="18" t="str">
        <f>"75,0068"</f>
        <v>75,0068</v>
      </c>
      <c r="M78" s="16" t="s">
        <v>18</v>
      </c>
    </row>
    <row r="80" spans="1:12" ht="15">
      <c r="A80" s="52" t="s">
        <v>120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3" ht="12.75">
      <c r="A81" s="10" t="s">
        <v>309</v>
      </c>
      <c r="B81" s="10" t="s">
        <v>310</v>
      </c>
      <c r="C81" s="10" t="s">
        <v>311</v>
      </c>
      <c r="D81" s="10" t="str">
        <f>"0,5260"</f>
        <v>0,5260</v>
      </c>
      <c r="E81" s="10" t="s">
        <v>15</v>
      </c>
      <c r="F81" s="10" t="s">
        <v>23</v>
      </c>
      <c r="G81" s="12" t="s">
        <v>267</v>
      </c>
      <c r="H81" s="11" t="s">
        <v>290</v>
      </c>
      <c r="I81" s="12" t="s">
        <v>290</v>
      </c>
      <c r="J81" s="11"/>
      <c r="K81" s="10" t="str">
        <f>"165,0"</f>
        <v>165,0</v>
      </c>
      <c r="L81" s="12" t="str">
        <f>"86,7900"</f>
        <v>86,7900</v>
      </c>
      <c r="M81" s="10" t="s">
        <v>18</v>
      </c>
    </row>
    <row r="82" spans="1:13" ht="12.75">
      <c r="A82" s="16" t="s">
        <v>312</v>
      </c>
      <c r="B82" s="16" t="s">
        <v>313</v>
      </c>
      <c r="C82" s="16" t="s">
        <v>314</v>
      </c>
      <c r="D82" s="16" t="str">
        <f>"0,5243"</f>
        <v>0,5243</v>
      </c>
      <c r="E82" s="16" t="s">
        <v>15</v>
      </c>
      <c r="F82" s="16" t="s">
        <v>315</v>
      </c>
      <c r="G82" s="18" t="s">
        <v>210</v>
      </c>
      <c r="H82" s="18" t="s">
        <v>136</v>
      </c>
      <c r="I82" s="17" t="s">
        <v>142</v>
      </c>
      <c r="J82" s="17"/>
      <c r="K82" s="16" t="str">
        <f>"130,0"</f>
        <v>130,0</v>
      </c>
      <c r="L82" s="18" t="str">
        <f>"76,1336"</f>
        <v>76,1336</v>
      </c>
      <c r="M82" s="16" t="s">
        <v>18</v>
      </c>
    </row>
    <row r="84" spans="1:12" ht="15">
      <c r="A84" s="52" t="s">
        <v>316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3" ht="12.75">
      <c r="A85" s="10" t="s">
        <v>317</v>
      </c>
      <c r="B85" s="10" t="s">
        <v>318</v>
      </c>
      <c r="C85" s="10" t="s">
        <v>319</v>
      </c>
      <c r="D85" s="10" t="str">
        <f>"0,5047"</f>
        <v>0,5047</v>
      </c>
      <c r="E85" s="10" t="s">
        <v>15</v>
      </c>
      <c r="F85" s="10" t="s">
        <v>23</v>
      </c>
      <c r="G85" s="12" t="s">
        <v>142</v>
      </c>
      <c r="H85" s="12" t="s">
        <v>160</v>
      </c>
      <c r="I85" s="11" t="s">
        <v>130</v>
      </c>
      <c r="J85" s="11"/>
      <c r="K85" s="10" t="str">
        <f>"140,0"</f>
        <v>140,0</v>
      </c>
      <c r="L85" s="12" t="str">
        <f>"71,3660"</f>
        <v>71,3660</v>
      </c>
      <c r="M85" s="10" t="s">
        <v>18</v>
      </c>
    </row>
    <row r="86" spans="1:13" ht="12.75">
      <c r="A86" s="13" t="s">
        <v>320</v>
      </c>
      <c r="B86" s="13" t="s">
        <v>321</v>
      </c>
      <c r="C86" s="13" t="s">
        <v>322</v>
      </c>
      <c r="D86" s="13" t="str">
        <f>"0,5080"</f>
        <v>0,5080</v>
      </c>
      <c r="E86" s="13" t="s">
        <v>15</v>
      </c>
      <c r="F86" s="13" t="s">
        <v>23</v>
      </c>
      <c r="G86" s="15" t="s">
        <v>323</v>
      </c>
      <c r="H86" s="15" t="s">
        <v>324</v>
      </c>
      <c r="I86" s="15" t="s">
        <v>325</v>
      </c>
      <c r="J86" s="14"/>
      <c r="K86" s="13" t="str">
        <f>"245,0"</f>
        <v>245,0</v>
      </c>
      <c r="L86" s="15" t="str">
        <f>"124,4625"</f>
        <v>124,4625</v>
      </c>
      <c r="M86" s="13" t="s">
        <v>18</v>
      </c>
    </row>
    <row r="87" spans="1:13" ht="12.75">
      <c r="A87" s="13" t="s">
        <v>326</v>
      </c>
      <c r="B87" s="13" t="s">
        <v>327</v>
      </c>
      <c r="C87" s="13" t="s">
        <v>328</v>
      </c>
      <c r="D87" s="13" t="str">
        <f>"0,5056"</f>
        <v>0,5056</v>
      </c>
      <c r="E87" s="13" t="s">
        <v>15</v>
      </c>
      <c r="F87" s="13" t="s">
        <v>23</v>
      </c>
      <c r="G87" s="15" t="s">
        <v>323</v>
      </c>
      <c r="H87" s="15" t="s">
        <v>329</v>
      </c>
      <c r="I87" s="14" t="s">
        <v>330</v>
      </c>
      <c r="J87" s="14"/>
      <c r="K87" s="13" t="str">
        <f>"230,0"</f>
        <v>230,0</v>
      </c>
      <c r="L87" s="15" t="str">
        <f>"116,2857"</f>
        <v>116,2857</v>
      </c>
      <c r="M87" s="13" t="s">
        <v>18</v>
      </c>
    </row>
    <row r="88" spans="1:13" ht="12.75">
      <c r="A88" s="16" t="s">
        <v>331</v>
      </c>
      <c r="B88" s="16" t="s">
        <v>332</v>
      </c>
      <c r="C88" s="16" t="s">
        <v>333</v>
      </c>
      <c r="D88" s="16" t="str">
        <f>"0,5109"</f>
        <v>0,5109</v>
      </c>
      <c r="E88" s="16" t="s">
        <v>15</v>
      </c>
      <c r="F88" s="16" t="s">
        <v>23</v>
      </c>
      <c r="G88" s="18" t="s">
        <v>131</v>
      </c>
      <c r="H88" s="18" t="s">
        <v>147</v>
      </c>
      <c r="I88" s="18" t="s">
        <v>148</v>
      </c>
      <c r="J88" s="17"/>
      <c r="K88" s="16" t="str">
        <f>"162,5"</f>
        <v>162,5</v>
      </c>
      <c r="L88" s="18" t="str">
        <f>"83,0245"</f>
        <v>83,0245</v>
      </c>
      <c r="M88" s="16" t="s">
        <v>18</v>
      </c>
    </row>
    <row r="90" spans="5:6" ht="15">
      <c r="E90" s="19" t="s">
        <v>90</v>
      </c>
      <c r="F90" s="32" t="s">
        <v>588</v>
      </c>
    </row>
    <row r="91" spans="5:6" ht="15">
      <c r="E91" s="19" t="s">
        <v>91</v>
      </c>
      <c r="F91" s="32" t="s">
        <v>589</v>
      </c>
    </row>
    <row r="92" spans="5:6" ht="15">
      <c r="E92" s="19" t="s">
        <v>92</v>
      </c>
      <c r="F92" s="32" t="s">
        <v>590</v>
      </c>
    </row>
    <row r="93" spans="5:6" ht="15">
      <c r="E93" s="19" t="s">
        <v>93</v>
      </c>
      <c r="F93" s="32" t="s">
        <v>591</v>
      </c>
    </row>
    <row r="94" spans="5:6" ht="15">
      <c r="E94" s="19" t="s">
        <v>93</v>
      </c>
      <c r="F94" s="32" t="s">
        <v>603</v>
      </c>
    </row>
    <row r="95" ht="15">
      <c r="E95" s="19"/>
    </row>
    <row r="96" ht="15">
      <c r="E96" s="19"/>
    </row>
    <row r="98" spans="1:2" ht="18">
      <c r="A98" s="20" t="s">
        <v>94</v>
      </c>
      <c r="B98" s="20"/>
    </row>
    <row r="99" spans="1:2" ht="15">
      <c r="A99" s="21" t="s">
        <v>95</v>
      </c>
      <c r="B99" s="21"/>
    </row>
    <row r="100" spans="1:2" ht="14.25">
      <c r="A100" s="22"/>
      <c r="B100" s="23" t="s">
        <v>108</v>
      </c>
    </row>
    <row r="101" spans="1:5" ht="15">
      <c r="A101" s="24" t="s">
        <v>96</v>
      </c>
      <c r="B101" s="24" t="s">
        <v>97</v>
      </c>
      <c r="C101" s="24" t="s">
        <v>98</v>
      </c>
      <c r="D101" s="24" t="s">
        <v>99</v>
      </c>
      <c r="E101" s="24" t="s">
        <v>100</v>
      </c>
    </row>
    <row r="102" spans="1:5" ht="12.75">
      <c r="A102" s="34" t="s">
        <v>165</v>
      </c>
      <c r="B102" s="4" t="s">
        <v>108</v>
      </c>
      <c r="C102" s="4" t="s">
        <v>110</v>
      </c>
      <c r="D102" s="4" t="s">
        <v>33</v>
      </c>
      <c r="E102" s="25" t="s">
        <v>335</v>
      </c>
    </row>
    <row r="103" spans="1:5" ht="12.75">
      <c r="A103" s="34" t="s">
        <v>604</v>
      </c>
      <c r="B103" s="4" t="s">
        <v>108</v>
      </c>
      <c r="C103" s="4" t="s">
        <v>334</v>
      </c>
      <c r="D103" s="4" t="s">
        <v>89</v>
      </c>
      <c r="E103" s="25" t="s">
        <v>336</v>
      </c>
    </row>
    <row r="104" spans="1:5" ht="12.75">
      <c r="A104" s="34" t="s">
        <v>605</v>
      </c>
      <c r="B104" s="4" t="s">
        <v>108</v>
      </c>
      <c r="C104" s="4" t="s">
        <v>103</v>
      </c>
      <c r="D104" s="4" t="s">
        <v>78</v>
      </c>
      <c r="E104" s="25" t="s">
        <v>337</v>
      </c>
    </row>
    <row r="106" spans="1:2" ht="15">
      <c r="A106" s="21" t="s">
        <v>102</v>
      </c>
      <c r="B106" s="21"/>
    </row>
    <row r="107" spans="1:2" ht="14.25">
      <c r="A107" s="22"/>
      <c r="B107" s="23" t="s">
        <v>106</v>
      </c>
    </row>
    <row r="108" spans="1:5" ht="15">
      <c r="A108" s="24" t="s">
        <v>96</v>
      </c>
      <c r="B108" s="24" t="s">
        <v>97</v>
      </c>
      <c r="C108" s="24" t="s">
        <v>98</v>
      </c>
      <c r="D108" s="24" t="s">
        <v>99</v>
      </c>
      <c r="E108" s="24" t="s">
        <v>100</v>
      </c>
    </row>
    <row r="109" spans="1:5" ht="12.75">
      <c r="A109" s="34" t="s">
        <v>260</v>
      </c>
      <c r="B109" s="32" t="s">
        <v>106</v>
      </c>
      <c r="C109" s="4" t="s">
        <v>104</v>
      </c>
      <c r="D109" s="4" t="s">
        <v>262</v>
      </c>
      <c r="E109" s="25" t="s">
        <v>338</v>
      </c>
    </row>
    <row r="111" spans="1:2" ht="14.25">
      <c r="A111" s="22"/>
      <c r="B111" s="23" t="s">
        <v>108</v>
      </c>
    </row>
    <row r="112" spans="1:5" ht="15">
      <c r="A112" s="24" t="s">
        <v>96</v>
      </c>
      <c r="B112" s="24" t="s">
        <v>97</v>
      </c>
      <c r="C112" s="24" t="s">
        <v>98</v>
      </c>
      <c r="D112" s="24" t="s">
        <v>99</v>
      </c>
      <c r="E112" s="24" t="s">
        <v>100</v>
      </c>
    </row>
    <row r="113" spans="1:5" ht="12.75">
      <c r="A113" s="34" t="s">
        <v>320</v>
      </c>
      <c r="B113" s="4" t="s">
        <v>108</v>
      </c>
      <c r="C113" s="4" t="s">
        <v>339</v>
      </c>
      <c r="D113" s="4" t="s">
        <v>325</v>
      </c>
      <c r="E113" s="25" t="s">
        <v>340</v>
      </c>
    </row>
    <row r="114" spans="1:5" ht="12.75">
      <c r="A114" s="34" t="s">
        <v>326</v>
      </c>
      <c r="B114" s="4" t="s">
        <v>108</v>
      </c>
      <c r="C114" s="4" t="s">
        <v>339</v>
      </c>
      <c r="D114" s="4" t="s">
        <v>329</v>
      </c>
      <c r="E114" s="25" t="s">
        <v>341</v>
      </c>
    </row>
    <row r="115" spans="1:5" ht="12.75">
      <c r="A115" s="34" t="s">
        <v>606</v>
      </c>
      <c r="B115" s="4" t="s">
        <v>108</v>
      </c>
      <c r="C115" s="4" t="s">
        <v>101</v>
      </c>
      <c r="D115" s="4" t="s">
        <v>159</v>
      </c>
      <c r="E115" s="25" t="s">
        <v>342</v>
      </c>
    </row>
    <row r="117" spans="1:2" ht="14.25">
      <c r="A117" s="22"/>
      <c r="B117" s="23" t="s">
        <v>112</v>
      </c>
    </row>
    <row r="118" spans="1:5" ht="15">
      <c r="A118" s="24" t="s">
        <v>96</v>
      </c>
      <c r="B118" s="24" t="s">
        <v>97</v>
      </c>
      <c r="C118" s="24" t="s">
        <v>98</v>
      </c>
      <c r="D118" s="24" t="s">
        <v>99</v>
      </c>
      <c r="E118" s="24" t="s">
        <v>100</v>
      </c>
    </row>
    <row r="119" spans="1:5" ht="12.75">
      <c r="A119" s="34" t="s">
        <v>301</v>
      </c>
      <c r="B119" s="4" t="s">
        <v>113</v>
      </c>
      <c r="C119" s="4" t="s">
        <v>109</v>
      </c>
      <c r="D119" s="4" t="s">
        <v>142</v>
      </c>
      <c r="E119" s="25" t="s">
        <v>343</v>
      </c>
    </row>
  </sheetData>
  <sheetProtection/>
  <mergeCells count="28">
    <mergeCell ref="A1:M2"/>
    <mergeCell ref="A3:A4"/>
    <mergeCell ref="B3:B4"/>
    <mergeCell ref="C3:C4"/>
    <mergeCell ref="D3:D4"/>
    <mergeCell ref="E3:E4"/>
    <mergeCell ref="F3:F4"/>
    <mergeCell ref="G3:J3"/>
    <mergeCell ref="A32:L32"/>
    <mergeCell ref="K3:K4"/>
    <mergeCell ref="L3:L4"/>
    <mergeCell ref="M3:M4"/>
    <mergeCell ref="A5:L5"/>
    <mergeCell ref="A8:L8"/>
    <mergeCell ref="A11:L11"/>
    <mergeCell ref="A14:L14"/>
    <mergeCell ref="A19:L19"/>
    <mergeCell ref="A22:L22"/>
    <mergeCell ref="A25:L25"/>
    <mergeCell ref="A29:L29"/>
    <mergeCell ref="A80:L80"/>
    <mergeCell ref="A84:L84"/>
    <mergeCell ref="A37:L37"/>
    <mergeCell ref="A40:L40"/>
    <mergeCell ref="A49:L49"/>
    <mergeCell ref="A56:L56"/>
    <mergeCell ref="A65:L65"/>
    <mergeCell ref="A75:L7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26" sqref="A26:L26"/>
    </sheetView>
  </sheetViews>
  <sheetFormatPr defaultColWidth="9.1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125" style="4" bestFit="1" customWidth="1"/>
    <col min="7" max="9" width="5.625" style="3" bestFit="1" customWidth="1"/>
    <col min="10" max="10" width="4.875" style="3" bestFit="1" customWidth="1"/>
    <col min="11" max="11" width="11.2539062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8" t="s">
        <v>344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1.5" customHeight="1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0</v>
      </c>
      <c r="B3" s="66" t="s">
        <v>5</v>
      </c>
      <c r="C3" s="66" t="s">
        <v>6</v>
      </c>
      <c r="D3" s="53" t="s">
        <v>9</v>
      </c>
      <c r="E3" s="53" t="s">
        <v>3</v>
      </c>
      <c r="F3" s="53" t="s">
        <v>7</v>
      </c>
      <c r="G3" s="53" t="s">
        <v>126</v>
      </c>
      <c r="H3" s="53"/>
      <c r="I3" s="53"/>
      <c r="J3" s="53"/>
      <c r="K3" s="53" t="s">
        <v>114</v>
      </c>
      <c r="L3" s="53" t="s">
        <v>2</v>
      </c>
      <c r="M3" s="55" t="s">
        <v>1</v>
      </c>
    </row>
    <row r="4" spans="1:13" s="1" customFormat="1" ht="21" customHeight="1" thickBot="1">
      <c r="A4" s="65"/>
      <c r="B4" s="54"/>
      <c r="C4" s="54"/>
      <c r="D4" s="54"/>
      <c r="E4" s="54"/>
      <c r="F4" s="54"/>
      <c r="G4" s="5">
        <v>1</v>
      </c>
      <c r="H4" s="5">
        <v>2</v>
      </c>
      <c r="I4" s="5">
        <v>3</v>
      </c>
      <c r="J4" s="5" t="s">
        <v>4</v>
      </c>
      <c r="K4" s="54"/>
      <c r="L4" s="54"/>
      <c r="M4" s="56"/>
    </row>
    <row r="5" spans="1:12" ht="15">
      <c r="A5" s="57" t="s">
        <v>45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3" ht="12.75">
      <c r="A6" s="6" t="s">
        <v>345</v>
      </c>
      <c r="B6" s="6" t="s">
        <v>346</v>
      </c>
      <c r="C6" s="6" t="s">
        <v>347</v>
      </c>
      <c r="D6" s="6" t="str">
        <f>"0,6193"</f>
        <v>0,6193</v>
      </c>
      <c r="E6" s="6" t="s">
        <v>15</v>
      </c>
      <c r="F6" s="6" t="s">
        <v>23</v>
      </c>
      <c r="G6" s="8" t="s">
        <v>142</v>
      </c>
      <c r="H6" s="8" t="s">
        <v>160</v>
      </c>
      <c r="I6" s="8" t="s">
        <v>130</v>
      </c>
      <c r="J6" s="7"/>
      <c r="K6" s="6" t="str">
        <f>"145,0"</f>
        <v>145,0</v>
      </c>
      <c r="L6" s="8" t="str">
        <f>"89,7985"</f>
        <v>89,7985</v>
      </c>
      <c r="M6" s="6" t="s">
        <v>18</v>
      </c>
    </row>
    <row r="8" spans="1:12" ht="15">
      <c r="A8" s="52" t="s">
        <v>70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 ht="12.75">
      <c r="A9" s="10" t="s">
        <v>348</v>
      </c>
      <c r="B9" s="10" t="s">
        <v>349</v>
      </c>
      <c r="C9" s="10" t="s">
        <v>350</v>
      </c>
      <c r="D9" s="10" t="str">
        <f>"0,5605"</f>
        <v>0,5605</v>
      </c>
      <c r="E9" s="10" t="s">
        <v>15</v>
      </c>
      <c r="F9" s="10" t="s">
        <v>23</v>
      </c>
      <c r="G9" s="12" t="s">
        <v>267</v>
      </c>
      <c r="H9" s="12" t="s">
        <v>291</v>
      </c>
      <c r="I9" s="12" t="s">
        <v>351</v>
      </c>
      <c r="J9" s="11"/>
      <c r="K9" s="10" t="str">
        <f>"180,0"</f>
        <v>180,0</v>
      </c>
      <c r="L9" s="12" t="str">
        <f>"100,8900"</f>
        <v>100,8900</v>
      </c>
      <c r="M9" s="10" t="s">
        <v>18</v>
      </c>
    </row>
    <row r="10" spans="1:13" ht="12.75">
      <c r="A10" s="13" t="s">
        <v>352</v>
      </c>
      <c r="B10" s="13" t="s">
        <v>353</v>
      </c>
      <c r="C10" s="13" t="s">
        <v>354</v>
      </c>
      <c r="D10" s="13" t="str">
        <f>"0,5591"</f>
        <v>0,5591</v>
      </c>
      <c r="E10" s="13" t="s">
        <v>15</v>
      </c>
      <c r="F10" s="13" t="s">
        <v>23</v>
      </c>
      <c r="G10" s="14" t="s">
        <v>267</v>
      </c>
      <c r="H10" s="14" t="s">
        <v>267</v>
      </c>
      <c r="I10" s="15" t="s">
        <v>291</v>
      </c>
      <c r="J10" s="14"/>
      <c r="K10" s="13" t="str">
        <f>"167,5"</f>
        <v>167,5</v>
      </c>
      <c r="L10" s="15" t="str">
        <f>"93,6492"</f>
        <v>93,6492</v>
      </c>
      <c r="M10" s="13" t="s">
        <v>18</v>
      </c>
    </row>
    <row r="11" spans="1:13" ht="12.75">
      <c r="A11" s="16" t="s">
        <v>355</v>
      </c>
      <c r="B11" s="16" t="s">
        <v>356</v>
      </c>
      <c r="C11" s="16" t="s">
        <v>357</v>
      </c>
      <c r="D11" s="16" t="str">
        <f>"0,5613"</f>
        <v>0,5613</v>
      </c>
      <c r="E11" s="16" t="s">
        <v>15</v>
      </c>
      <c r="F11" s="16" t="s">
        <v>358</v>
      </c>
      <c r="G11" s="18" t="s">
        <v>160</v>
      </c>
      <c r="H11" s="18" t="s">
        <v>131</v>
      </c>
      <c r="I11" s="18" t="s">
        <v>359</v>
      </c>
      <c r="J11" s="17"/>
      <c r="K11" s="16" t="str">
        <f>"155,0"</f>
        <v>155,0</v>
      </c>
      <c r="L11" s="18" t="str">
        <f>"87,0015"</f>
        <v>87,0015</v>
      </c>
      <c r="M11" s="16" t="s">
        <v>18</v>
      </c>
    </row>
    <row r="13" spans="1:12" ht="15">
      <c r="A13" s="52" t="s">
        <v>85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3" ht="12.75">
      <c r="A14" s="6" t="s">
        <v>360</v>
      </c>
      <c r="B14" s="6" t="s">
        <v>361</v>
      </c>
      <c r="C14" s="6" t="s">
        <v>362</v>
      </c>
      <c r="D14" s="6" t="str">
        <f>"0,5371"</f>
        <v>0,5371</v>
      </c>
      <c r="E14" s="6" t="s">
        <v>15</v>
      </c>
      <c r="F14" s="6" t="s">
        <v>23</v>
      </c>
      <c r="G14" s="8" t="s">
        <v>262</v>
      </c>
      <c r="H14" s="7" t="s">
        <v>351</v>
      </c>
      <c r="I14" s="8" t="s">
        <v>351</v>
      </c>
      <c r="J14" s="7"/>
      <c r="K14" s="6" t="str">
        <f>"180,0"</f>
        <v>180,0</v>
      </c>
      <c r="L14" s="8" t="str">
        <f>"96,6780"</f>
        <v>96,6780</v>
      </c>
      <c r="M14" s="6" t="s">
        <v>18</v>
      </c>
    </row>
    <row r="16" spans="1:12" ht="15">
      <c r="A16" s="52" t="s">
        <v>363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3" ht="12.75">
      <c r="A17" s="6" t="s">
        <v>364</v>
      </c>
      <c r="B17" s="6" t="s">
        <v>365</v>
      </c>
      <c r="C17" s="6" t="s">
        <v>366</v>
      </c>
      <c r="D17" s="6" t="str">
        <f>"0,4986"</f>
        <v>0,4986</v>
      </c>
      <c r="E17" s="6" t="s">
        <v>15</v>
      </c>
      <c r="F17" s="6" t="s">
        <v>23</v>
      </c>
      <c r="G17" s="8" t="s">
        <v>367</v>
      </c>
      <c r="H17" s="7" t="s">
        <v>368</v>
      </c>
      <c r="I17" s="7" t="s">
        <v>368</v>
      </c>
      <c r="J17" s="7"/>
      <c r="K17" s="6" t="str">
        <f>"215,0"</f>
        <v>215,0</v>
      </c>
      <c r="L17" s="8" t="str">
        <f>"107,2001"</f>
        <v>107,2001</v>
      </c>
      <c r="M17" s="6" t="s">
        <v>18</v>
      </c>
    </row>
    <row r="19" spans="5:6" ht="15">
      <c r="E19" s="19" t="s">
        <v>90</v>
      </c>
      <c r="F19" s="32" t="s">
        <v>588</v>
      </c>
    </row>
    <row r="20" spans="5:6" ht="15">
      <c r="E20" s="19" t="s">
        <v>91</v>
      </c>
      <c r="F20" s="32" t="s">
        <v>589</v>
      </c>
    </row>
    <row r="21" spans="5:6" ht="15">
      <c r="E21" s="19" t="s">
        <v>92</v>
      </c>
      <c r="F21" s="32" t="s">
        <v>590</v>
      </c>
    </row>
    <row r="22" spans="5:6" ht="15">
      <c r="E22" s="19" t="s">
        <v>93</v>
      </c>
      <c r="F22" s="32" t="s">
        <v>591</v>
      </c>
    </row>
    <row r="23" spans="5:6" ht="15">
      <c r="E23" s="19" t="s">
        <v>93</v>
      </c>
      <c r="F23" s="32" t="s">
        <v>597</v>
      </c>
    </row>
    <row r="24" ht="15">
      <c r="E24" s="19"/>
    </row>
    <row r="25" ht="15">
      <c r="E25" s="19"/>
    </row>
    <row r="27" spans="1:2" ht="18">
      <c r="A27" s="20" t="s">
        <v>94</v>
      </c>
      <c r="B27" s="20"/>
    </row>
    <row r="28" spans="1:2" ht="15">
      <c r="A28" s="21" t="s">
        <v>102</v>
      </c>
      <c r="B28" s="21"/>
    </row>
    <row r="29" spans="1:2" ht="14.25">
      <c r="A29" s="22"/>
      <c r="B29" s="23" t="s">
        <v>108</v>
      </c>
    </row>
    <row r="30" spans="1:5" ht="15">
      <c r="A30" s="24" t="s">
        <v>96</v>
      </c>
      <c r="B30" s="24" t="s">
        <v>97</v>
      </c>
      <c r="C30" s="24" t="s">
        <v>98</v>
      </c>
      <c r="D30" s="24" t="s">
        <v>99</v>
      </c>
      <c r="E30" s="24" t="s">
        <v>100</v>
      </c>
    </row>
    <row r="31" spans="1:5" ht="12.75">
      <c r="A31" s="34" t="s">
        <v>364</v>
      </c>
      <c r="B31" s="4" t="s">
        <v>108</v>
      </c>
      <c r="C31" s="4" t="s">
        <v>369</v>
      </c>
      <c r="D31" s="4" t="s">
        <v>367</v>
      </c>
      <c r="E31" s="25" t="s">
        <v>370</v>
      </c>
    </row>
    <row r="32" spans="1:5" ht="12.75">
      <c r="A32" s="34" t="s">
        <v>601</v>
      </c>
      <c r="B32" s="4" t="s">
        <v>108</v>
      </c>
      <c r="C32" s="4" t="s">
        <v>109</v>
      </c>
      <c r="D32" s="4" t="s">
        <v>351</v>
      </c>
      <c r="E32" s="25" t="s">
        <v>371</v>
      </c>
    </row>
    <row r="33" spans="1:5" ht="12.75">
      <c r="A33" s="34" t="s">
        <v>602</v>
      </c>
      <c r="B33" s="4" t="s">
        <v>108</v>
      </c>
      <c r="C33" s="4" t="s">
        <v>111</v>
      </c>
      <c r="D33" s="4" t="s">
        <v>351</v>
      </c>
      <c r="E33" s="25" t="s">
        <v>372</v>
      </c>
    </row>
  </sheetData>
  <sheetProtection/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3:L13"/>
    <mergeCell ref="A16:L16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E19" sqref="E19:F23"/>
    </sheetView>
  </sheetViews>
  <sheetFormatPr defaultColWidth="9.1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0.875" style="4" bestFit="1" customWidth="1"/>
    <col min="7" max="7" width="5.625" style="3" bestFit="1" customWidth="1"/>
    <col min="8" max="8" width="10.375" style="28" bestFit="1" customWidth="1"/>
    <col min="9" max="9" width="8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8" t="s">
        <v>579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s="2" customFormat="1" ht="61.5" customHeight="1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s="1" customFormat="1" ht="12.75" customHeight="1">
      <c r="A3" s="64" t="s">
        <v>0</v>
      </c>
      <c r="B3" s="66" t="s">
        <v>5</v>
      </c>
      <c r="C3" s="66" t="s">
        <v>6</v>
      </c>
      <c r="D3" s="53" t="s">
        <v>540</v>
      </c>
      <c r="E3" s="53" t="s">
        <v>3</v>
      </c>
      <c r="F3" s="53" t="s">
        <v>7</v>
      </c>
      <c r="G3" s="53" t="s">
        <v>531</v>
      </c>
      <c r="H3" s="53"/>
      <c r="I3" s="53" t="s">
        <v>534</v>
      </c>
      <c r="J3" s="53" t="s">
        <v>2</v>
      </c>
      <c r="K3" s="55" t="s">
        <v>1</v>
      </c>
    </row>
    <row r="4" spans="1:11" s="1" customFormat="1" ht="21" customHeight="1" thickBot="1">
      <c r="A4" s="65"/>
      <c r="B4" s="54"/>
      <c r="C4" s="54"/>
      <c r="D4" s="54"/>
      <c r="E4" s="54"/>
      <c r="F4" s="54"/>
      <c r="G4" s="5" t="s">
        <v>532</v>
      </c>
      <c r="H4" s="26" t="s">
        <v>533</v>
      </c>
      <c r="I4" s="54"/>
      <c r="J4" s="54"/>
      <c r="K4" s="56"/>
    </row>
    <row r="5" spans="1:10" ht="15">
      <c r="A5" s="57" t="s">
        <v>541</v>
      </c>
      <c r="B5" s="57"/>
      <c r="C5" s="57"/>
      <c r="D5" s="57"/>
      <c r="E5" s="57"/>
      <c r="F5" s="57"/>
      <c r="G5" s="57"/>
      <c r="H5" s="57"/>
      <c r="I5" s="57"/>
      <c r="J5" s="57"/>
    </row>
    <row r="6" spans="1:11" ht="12.75">
      <c r="A6" s="10" t="s">
        <v>580</v>
      </c>
      <c r="B6" s="10" t="s">
        <v>581</v>
      </c>
      <c r="C6" s="10" t="s">
        <v>582</v>
      </c>
      <c r="D6" s="10" t="str">
        <f>"1,0000"</f>
        <v>1,0000</v>
      </c>
      <c r="E6" s="10" t="s">
        <v>15</v>
      </c>
      <c r="F6" s="10" t="s">
        <v>23</v>
      </c>
      <c r="G6" s="12" t="s">
        <v>230</v>
      </c>
      <c r="H6" s="29" t="s">
        <v>583</v>
      </c>
      <c r="I6" s="10" t="str">
        <f>"2600,0"</f>
        <v>2600,0</v>
      </c>
      <c r="J6" s="12" t="str">
        <f>"28,4153"</f>
        <v>28,4153</v>
      </c>
      <c r="K6" s="10" t="s">
        <v>18</v>
      </c>
    </row>
    <row r="7" spans="1:11" ht="12.75">
      <c r="A7" s="13" t="s">
        <v>584</v>
      </c>
      <c r="B7" s="36" t="s">
        <v>585</v>
      </c>
      <c r="C7" s="13" t="s">
        <v>586</v>
      </c>
      <c r="D7" s="13" t="str">
        <f>"1,0000"</f>
        <v>1,0000</v>
      </c>
      <c r="E7" s="13" t="s">
        <v>15</v>
      </c>
      <c r="F7" s="13" t="s">
        <v>23</v>
      </c>
      <c r="G7" s="15" t="s">
        <v>230</v>
      </c>
      <c r="H7" s="30" t="s">
        <v>537</v>
      </c>
      <c r="I7" s="13" t="str">
        <f>"2200,0"</f>
        <v>2200,0</v>
      </c>
      <c r="J7" s="15" t="str">
        <f>"19,3832"</f>
        <v>19,3832</v>
      </c>
      <c r="K7" s="13" t="s">
        <v>18</v>
      </c>
    </row>
    <row r="8" spans="1:11" ht="12.75">
      <c r="A8" s="37" t="s">
        <v>620</v>
      </c>
      <c r="B8" s="37" t="s">
        <v>621</v>
      </c>
      <c r="C8" s="16" t="s">
        <v>73</v>
      </c>
      <c r="D8" s="16" t="str">
        <f>"1,0000"</f>
        <v>1,0000</v>
      </c>
      <c r="E8" s="16" t="s">
        <v>15</v>
      </c>
      <c r="F8" s="16" t="s">
        <v>23</v>
      </c>
      <c r="G8" s="18" t="s">
        <v>230</v>
      </c>
      <c r="H8" s="31" t="s">
        <v>587</v>
      </c>
      <c r="I8" s="16" t="str">
        <f>"1600,0"</f>
        <v>1600,0</v>
      </c>
      <c r="J8" s="18" t="str">
        <f>"17,2043"</f>
        <v>17,2043</v>
      </c>
      <c r="K8" s="16" t="s">
        <v>18</v>
      </c>
    </row>
    <row r="10" spans="5:6" ht="15">
      <c r="E10" s="19" t="s">
        <v>90</v>
      </c>
      <c r="F10" s="32" t="s">
        <v>588</v>
      </c>
    </row>
    <row r="11" spans="5:6" ht="15">
      <c r="E11" s="19" t="s">
        <v>91</v>
      </c>
      <c r="F11" s="32" t="s">
        <v>589</v>
      </c>
    </row>
    <row r="12" spans="5:6" ht="15">
      <c r="E12" s="19" t="s">
        <v>92</v>
      </c>
      <c r="F12" s="32" t="s">
        <v>590</v>
      </c>
    </row>
    <row r="13" spans="5:6" ht="15">
      <c r="E13" s="19" t="s">
        <v>93</v>
      </c>
      <c r="F13" s="32" t="s">
        <v>591</v>
      </c>
    </row>
    <row r="14" spans="5:6" ht="15">
      <c r="E14" s="19" t="s">
        <v>93</v>
      </c>
      <c r="F14" s="32" t="s">
        <v>603</v>
      </c>
    </row>
    <row r="15" ht="15">
      <c r="E15" s="19"/>
    </row>
    <row r="16" ht="15">
      <c r="E16" s="19"/>
    </row>
    <row r="18" spans="2:11" ht="12.75">
      <c r="B18" s="3"/>
      <c r="C18" s="28"/>
      <c r="E18" s="3"/>
      <c r="H18" s="3"/>
      <c r="I18" s="3"/>
      <c r="K18" s="3"/>
    </row>
    <row r="19" spans="2:11" ht="12.75">
      <c r="B19" s="3"/>
      <c r="C19" s="28"/>
      <c r="E19" s="3"/>
      <c r="H19" s="3"/>
      <c r="I19" s="3"/>
      <c r="K19" s="3"/>
    </row>
    <row r="20" spans="2:11" ht="12.75">
      <c r="B20" s="3"/>
      <c r="C20" s="28"/>
      <c r="E20" s="3"/>
      <c r="H20" s="3"/>
      <c r="I20" s="3"/>
      <c r="K20" s="3"/>
    </row>
    <row r="21" spans="2:11" ht="12.75">
      <c r="B21" s="3"/>
      <c r="C21" s="28"/>
      <c r="E21" s="3"/>
      <c r="H21" s="3"/>
      <c r="I21" s="3"/>
      <c r="K21" s="3"/>
    </row>
    <row r="22" spans="2:11" ht="12.75">
      <c r="B22" s="3"/>
      <c r="C22" s="28"/>
      <c r="E22" s="3"/>
      <c r="H22" s="3"/>
      <c r="I22" s="3"/>
      <c r="K22" s="3"/>
    </row>
    <row r="23" spans="2:11" ht="12.75">
      <c r="B23" s="3"/>
      <c r="C23" s="28"/>
      <c r="E23" s="3"/>
      <c r="H23" s="3"/>
      <c r="I23" s="3"/>
      <c r="K23" s="3"/>
    </row>
    <row r="24" spans="2:11" ht="12.75">
      <c r="B24" s="3"/>
      <c r="C24" s="28"/>
      <c r="E24" s="3"/>
      <c r="H24" s="3"/>
      <c r="I24" s="3"/>
      <c r="K24" s="3"/>
    </row>
    <row r="25" spans="2:11" ht="12.75">
      <c r="B25" s="3"/>
      <c r="C25" s="28"/>
      <c r="E25" s="3"/>
      <c r="H25" s="3"/>
      <c r="I25" s="3"/>
      <c r="K25" s="3"/>
    </row>
    <row r="26" spans="2:11" ht="12.75">
      <c r="B26" s="3"/>
      <c r="C26" s="28"/>
      <c r="E26" s="3"/>
      <c r="H26" s="3"/>
      <c r="I26" s="3"/>
      <c r="K26" s="3"/>
    </row>
    <row r="27" spans="2:11" ht="12.75">
      <c r="B27" s="3"/>
      <c r="C27" s="28"/>
      <c r="E27" s="3"/>
      <c r="H27" s="3"/>
      <c r="I27" s="3"/>
      <c r="K27" s="3"/>
    </row>
    <row r="28" spans="2:11" ht="12.75">
      <c r="B28" s="3"/>
      <c r="C28" s="28"/>
      <c r="E28" s="3"/>
      <c r="H28" s="3"/>
      <c r="I28" s="3"/>
      <c r="K28" s="3"/>
    </row>
    <row r="29" spans="2:11" ht="12.75">
      <c r="B29" s="3"/>
      <c r="C29" s="28"/>
      <c r="E29" s="3"/>
      <c r="H29" s="3"/>
      <c r="I29" s="3"/>
      <c r="K29" s="3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E19" sqref="E19:F23"/>
    </sheetView>
  </sheetViews>
  <sheetFormatPr defaultColWidth="9.125" defaultRowHeight="12.75"/>
  <cols>
    <col min="1" max="1" width="26.00390625" style="4" bestFit="1" customWidth="1"/>
    <col min="2" max="2" width="28.375" style="4" bestFit="1" customWidth="1"/>
    <col min="3" max="4" width="10.625" style="4" bestFit="1" customWidth="1"/>
    <col min="5" max="5" width="22.75390625" style="4" bestFit="1" customWidth="1"/>
    <col min="6" max="6" width="20.875" style="4" bestFit="1" customWidth="1"/>
    <col min="7" max="7" width="5.00390625" style="3" bestFit="1" customWidth="1"/>
    <col min="8" max="8" width="10.375" style="28" bestFit="1" customWidth="1"/>
    <col min="9" max="9" width="8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8" t="s">
        <v>576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s="2" customFormat="1" ht="61.5" customHeight="1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s="1" customFormat="1" ht="12.75" customHeight="1">
      <c r="A3" s="64" t="s">
        <v>0</v>
      </c>
      <c r="B3" s="66" t="s">
        <v>5</v>
      </c>
      <c r="C3" s="66" t="s">
        <v>6</v>
      </c>
      <c r="D3" s="53" t="s">
        <v>540</v>
      </c>
      <c r="E3" s="53" t="s">
        <v>3</v>
      </c>
      <c r="F3" s="53" t="s">
        <v>7</v>
      </c>
      <c r="G3" s="53" t="s">
        <v>531</v>
      </c>
      <c r="H3" s="53"/>
      <c r="I3" s="53" t="s">
        <v>534</v>
      </c>
      <c r="J3" s="53" t="s">
        <v>2</v>
      </c>
      <c r="K3" s="55" t="s">
        <v>1</v>
      </c>
    </row>
    <row r="4" spans="1:11" s="1" customFormat="1" ht="21" customHeight="1" thickBot="1">
      <c r="A4" s="65"/>
      <c r="B4" s="54"/>
      <c r="C4" s="54"/>
      <c r="D4" s="54"/>
      <c r="E4" s="54"/>
      <c r="F4" s="54"/>
      <c r="G4" s="5" t="s">
        <v>532</v>
      </c>
      <c r="H4" s="26" t="s">
        <v>533</v>
      </c>
      <c r="I4" s="54"/>
      <c r="J4" s="54"/>
      <c r="K4" s="56"/>
    </row>
    <row r="5" spans="1:10" ht="15">
      <c r="A5" s="57" t="s">
        <v>593</v>
      </c>
      <c r="B5" s="57"/>
      <c r="C5" s="57"/>
      <c r="D5" s="57"/>
      <c r="E5" s="57"/>
      <c r="F5" s="57"/>
      <c r="G5" s="57"/>
      <c r="H5" s="57"/>
      <c r="I5" s="57"/>
      <c r="J5" s="57"/>
    </row>
    <row r="6" spans="1:11" ht="12.75">
      <c r="A6" s="6" t="s">
        <v>577</v>
      </c>
      <c r="B6" s="6" t="s">
        <v>265</v>
      </c>
      <c r="C6" s="6" t="s">
        <v>266</v>
      </c>
      <c r="D6" s="6" t="str">
        <f>"1,0000"</f>
        <v>1,0000</v>
      </c>
      <c r="E6" s="6" t="s">
        <v>15</v>
      </c>
      <c r="F6" s="6" t="s">
        <v>23</v>
      </c>
      <c r="G6" s="8" t="s">
        <v>74</v>
      </c>
      <c r="H6" s="27" t="s">
        <v>578</v>
      </c>
      <c r="I6" s="6" t="str">
        <f>"2325,0"</f>
        <v>2325,0</v>
      </c>
      <c r="J6" s="8" t="str">
        <f>"26,9097"</f>
        <v>26,9097</v>
      </c>
      <c r="K6" s="6" t="s">
        <v>18</v>
      </c>
    </row>
    <row r="8" spans="5:6" ht="15">
      <c r="E8" s="19" t="s">
        <v>90</v>
      </c>
      <c r="F8" s="32" t="s">
        <v>588</v>
      </c>
    </row>
    <row r="9" spans="5:6" ht="15">
      <c r="E9" s="19" t="s">
        <v>91</v>
      </c>
      <c r="F9" s="32" t="s">
        <v>589</v>
      </c>
    </row>
    <row r="10" spans="5:6" ht="15">
      <c r="E10" s="19" t="s">
        <v>92</v>
      </c>
      <c r="F10" s="32" t="s">
        <v>590</v>
      </c>
    </row>
    <row r="11" spans="5:6" ht="15">
      <c r="E11" s="19" t="s">
        <v>93</v>
      </c>
      <c r="F11" s="32" t="s">
        <v>591</v>
      </c>
    </row>
    <row r="12" spans="5:6" ht="15">
      <c r="E12" s="19" t="s">
        <v>93</v>
      </c>
      <c r="F12" s="32" t="s">
        <v>603</v>
      </c>
    </row>
    <row r="13" ht="15">
      <c r="E13" s="19"/>
    </row>
    <row r="14" ht="15">
      <c r="E14" s="19"/>
    </row>
    <row r="16" spans="2:11" ht="12.75">
      <c r="B16" s="3"/>
      <c r="C16" s="28"/>
      <c r="E16" s="3"/>
      <c r="H16" s="3"/>
      <c r="I16" s="3"/>
      <c r="K16" s="3"/>
    </row>
    <row r="17" spans="2:11" ht="12.75">
      <c r="B17" s="3"/>
      <c r="C17" s="28"/>
      <c r="E17" s="3"/>
      <c r="H17" s="3"/>
      <c r="I17" s="3"/>
      <c r="K17" s="3"/>
    </row>
    <row r="18" spans="2:11" ht="12.75">
      <c r="B18" s="3"/>
      <c r="C18" s="28"/>
      <c r="E18" s="3"/>
      <c r="H18" s="3"/>
      <c r="I18" s="3"/>
      <c r="K18" s="3"/>
    </row>
    <row r="19" spans="2:11" ht="12.75">
      <c r="B19" s="3"/>
      <c r="C19" s="28"/>
      <c r="E19" s="3"/>
      <c r="H19" s="3"/>
      <c r="I19" s="3"/>
      <c r="K19" s="3"/>
    </row>
    <row r="20" spans="2:11" ht="12.75">
      <c r="B20" s="3"/>
      <c r="C20" s="28"/>
      <c r="E20" s="3"/>
      <c r="H20" s="3"/>
      <c r="I20" s="3"/>
      <c r="K20" s="3"/>
    </row>
    <row r="21" spans="2:11" ht="12.75">
      <c r="B21" s="3"/>
      <c r="C21" s="28"/>
      <c r="E21" s="3"/>
      <c r="H21" s="3"/>
      <c r="I21" s="3"/>
      <c r="K21" s="3"/>
    </row>
    <row r="22" spans="2:11" ht="12.75">
      <c r="B22" s="3"/>
      <c r="C22" s="28"/>
      <c r="E22" s="3"/>
      <c r="H22" s="3"/>
      <c r="I22" s="3"/>
      <c r="K22" s="3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E19" sqref="E19:F23"/>
    </sheetView>
  </sheetViews>
  <sheetFormatPr defaultColWidth="9.1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32.375" style="4" bestFit="1" customWidth="1"/>
    <col min="7" max="7" width="5.00390625" style="3" bestFit="1" customWidth="1"/>
    <col min="8" max="8" width="10.375" style="28" bestFit="1" customWidth="1"/>
    <col min="9" max="9" width="8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8" t="s">
        <v>555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s="2" customFormat="1" ht="61.5" customHeight="1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s="1" customFormat="1" ht="12.75" customHeight="1">
      <c r="A3" s="64" t="s">
        <v>0</v>
      </c>
      <c r="B3" s="66" t="s">
        <v>5</v>
      </c>
      <c r="C3" s="66" t="s">
        <v>6</v>
      </c>
      <c r="D3" s="53" t="s">
        <v>540</v>
      </c>
      <c r="E3" s="53" t="s">
        <v>3</v>
      </c>
      <c r="F3" s="53" t="s">
        <v>7</v>
      </c>
      <c r="G3" s="53" t="s">
        <v>531</v>
      </c>
      <c r="H3" s="53"/>
      <c r="I3" s="53" t="s">
        <v>534</v>
      </c>
      <c r="J3" s="53" t="s">
        <v>2</v>
      </c>
      <c r="K3" s="55" t="s">
        <v>1</v>
      </c>
    </row>
    <row r="4" spans="1:11" s="1" customFormat="1" ht="21" customHeight="1" thickBot="1">
      <c r="A4" s="65"/>
      <c r="B4" s="54"/>
      <c r="C4" s="54"/>
      <c r="D4" s="54"/>
      <c r="E4" s="54"/>
      <c r="F4" s="54"/>
      <c r="G4" s="5" t="s">
        <v>532</v>
      </c>
      <c r="H4" s="26" t="s">
        <v>533</v>
      </c>
      <c r="I4" s="54"/>
      <c r="J4" s="54"/>
      <c r="K4" s="56"/>
    </row>
    <row r="5" spans="1:10" ht="15">
      <c r="A5" s="57" t="s">
        <v>593</v>
      </c>
      <c r="B5" s="57"/>
      <c r="C5" s="57"/>
      <c r="D5" s="57"/>
      <c r="E5" s="57"/>
      <c r="F5" s="57"/>
      <c r="G5" s="57"/>
      <c r="H5" s="57"/>
      <c r="I5" s="57"/>
      <c r="J5" s="57"/>
    </row>
    <row r="6" spans="1:11" ht="12.75">
      <c r="A6" s="10" t="s">
        <v>556</v>
      </c>
      <c r="B6" s="10" t="s">
        <v>557</v>
      </c>
      <c r="C6" s="10" t="s">
        <v>558</v>
      </c>
      <c r="D6" s="10" t="str">
        <f aca="true" t="shared" si="0" ref="D6:D15">"1,0000"</f>
        <v>1,0000</v>
      </c>
      <c r="E6" s="10" t="s">
        <v>15</v>
      </c>
      <c r="F6" s="10" t="s">
        <v>23</v>
      </c>
      <c r="G6" s="12" t="s">
        <v>31</v>
      </c>
      <c r="H6" s="29" t="s">
        <v>234</v>
      </c>
      <c r="I6" s="10" t="str">
        <f>"5775,0"</f>
        <v>5775,0</v>
      </c>
      <c r="J6" s="12" t="str">
        <f>"71,3403"</f>
        <v>71,3403</v>
      </c>
      <c r="K6" s="10" t="s">
        <v>18</v>
      </c>
    </row>
    <row r="7" spans="1:11" ht="12.75">
      <c r="A7" s="36" t="s">
        <v>622</v>
      </c>
      <c r="B7" s="13" t="s">
        <v>561</v>
      </c>
      <c r="C7" s="13" t="s">
        <v>562</v>
      </c>
      <c r="D7" s="13" t="str">
        <f t="shared" si="0"/>
        <v>1,0000</v>
      </c>
      <c r="E7" s="13" t="s">
        <v>15</v>
      </c>
      <c r="F7" s="13" t="s">
        <v>23</v>
      </c>
      <c r="G7" s="15" t="s">
        <v>31</v>
      </c>
      <c r="H7" s="30" t="s">
        <v>563</v>
      </c>
      <c r="I7" s="13" t="str">
        <f>"3355,0"</f>
        <v>3355,0</v>
      </c>
      <c r="J7" s="15" t="str">
        <f>"41,3686"</f>
        <v>41,3686</v>
      </c>
      <c r="K7" s="13" t="s">
        <v>18</v>
      </c>
    </row>
    <row r="8" spans="1:11" ht="12.75">
      <c r="A8" s="36" t="s">
        <v>611</v>
      </c>
      <c r="B8" s="13" t="s">
        <v>56</v>
      </c>
      <c r="C8" s="13" t="s">
        <v>57</v>
      </c>
      <c r="D8" s="13" t="str">
        <f t="shared" si="0"/>
        <v>1,0000</v>
      </c>
      <c r="E8" s="13" t="s">
        <v>15</v>
      </c>
      <c r="F8" s="13" t="s">
        <v>16</v>
      </c>
      <c r="G8" s="15" t="s">
        <v>31</v>
      </c>
      <c r="H8" s="30" t="s">
        <v>564</v>
      </c>
      <c r="I8" s="13" t="str">
        <f>"2860,0"</f>
        <v>2860,0</v>
      </c>
      <c r="J8" s="15" t="str">
        <f>"35,4399"</f>
        <v>35,4399</v>
      </c>
      <c r="K8" s="13" t="s">
        <v>18</v>
      </c>
    </row>
    <row r="9" spans="1:11" ht="12.75">
      <c r="A9" s="36" t="s">
        <v>623</v>
      </c>
      <c r="B9" s="13" t="s">
        <v>52</v>
      </c>
      <c r="C9" s="13" t="s">
        <v>53</v>
      </c>
      <c r="D9" s="13" t="str">
        <f t="shared" si="0"/>
        <v>1,0000</v>
      </c>
      <c r="E9" s="13" t="s">
        <v>15</v>
      </c>
      <c r="F9" s="13" t="s">
        <v>54</v>
      </c>
      <c r="G9" s="15" t="s">
        <v>31</v>
      </c>
      <c r="H9" s="30" t="s">
        <v>568</v>
      </c>
      <c r="I9" s="13" t="str">
        <f>"2640,0"</f>
        <v>2640,0</v>
      </c>
      <c r="J9" s="15" t="str">
        <f>"32,1167"</f>
        <v>32,1167</v>
      </c>
      <c r="K9" s="13" t="s">
        <v>18</v>
      </c>
    </row>
    <row r="10" spans="1:11" ht="12.75">
      <c r="A10" s="36" t="s">
        <v>624</v>
      </c>
      <c r="B10" s="13" t="s">
        <v>569</v>
      </c>
      <c r="C10" s="13" t="s">
        <v>570</v>
      </c>
      <c r="D10" s="13" t="str">
        <f t="shared" si="0"/>
        <v>1,0000</v>
      </c>
      <c r="E10" s="13" t="s">
        <v>15</v>
      </c>
      <c r="F10" s="13" t="s">
        <v>23</v>
      </c>
      <c r="G10" s="15" t="s">
        <v>31</v>
      </c>
      <c r="H10" s="30" t="s">
        <v>571</v>
      </c>
      <c r="I10" s="13" t="str">
        <f>"2420,0"</f>
        <v>2420,0</v>
      </c>
      <c r="J10" s="15" t="str">
        <f>"30,2500"</f>
        <v>30,2500</v>
      </c>
      <c r="K10" s="13" t="s">
        <v>18</v>
      </c>
    </row>
    <row r="11" spans="1:11" ht="13.5" thickBot="1">
      <c r="A11" s="16" t="s">
        <v>40</v>
      </c>
      <c r="B11" s="16" t="s">
        <v>41</v>
      </c>
      <c r="C11" s="16" t="s">
        <v>42</v>
      </c>
      <c r="D11" s="16" t="str">
        <f t="shared" si="0"/>
        <v>1,0000</v>
      </c>
      <c r="E11" s="16" t="s">
        <v>15</v>
      </c>
      <c r="F11" s="16" t="s">
        <v>23</v>
      </c>
      <c r="G11" s="18" t="s">
        <v>31</v>
      </c>
      <c r="H11" s="31" t="s">
        <v>544</v>
      </c>
      <c r="I11" s="16" t="str">
        <f>"2310,0"</f>
        <v>2310,0</v>
      </c>
      <c r="J11" s="18" t="str">
        <f>"31,0067"</f>
        <v>31,0067</v>
      </c>
      <c r="K11" s="16" t="s">
        <v>18</v>
      </c>
    </row>
    <row r="12" spans="1:10" ht="15">
      <c r="A12" s="57" t="s">
        <v>625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11" ht="12.75">
      <c r="A13" s="35" t="s">
        <v>627</v>
      </c>
      <c r="B13" s="10" t="s">
        <v>559</v>
      </c>
      <c r="C13" s="10" t="s">
        <v>560</v>
      </c>
      <c r="D13" s="10" t="str">
        <f t="shared" si="0"/>
        <v>1,0000</v>
      </c>
      <c r="E13" s="10" t="s">
        <v>15</v>
      </c>
      <c r="F13" s="10" t="s">
        <v>23</v>
      </c>
      <c r="G13" s="12" t="s">
        <v>31</v>
      </c>
      <c r="H13" s="29" t="s">
        <v>74</v>
      </c>
      <c r="I13" s="10" t="str">
        <f>"4125,0"</f>
        <v>4125,0</v>
      </c>
      <c r="J13" s="12" t="str">
        <f>"43,6046"</f>
        <v>43,6046</v>
      </c>
      <c r="K13" s="10" t="s">
        <v>18</v>
      </c>
    </row>
    <row r="14" spans="1:11" ht="12.75">
      <c r="A14" s="36" t="s">
        <v>628</v>
      </c>
      <c r="B14" s="36" t="s">
        <v>626</v>
      </c>
      <c r="C14" s="13" t="s">
        <v>572</v>
      </c>
      <c r="D14" s="13" t="str">
        <f t="shared" si="0"/>
        <v>1,0000</v>
      </c>
      <c r="E14" s="13" t="s">
        <v>15</v>
      </c>
      <c r="F14" s="13" t="s">
        <v>23</v>
      </c>
      <c r="G14" s="15" t="s">
        <v>31</v>
      </c>
      <c r="H14" s="30" t="s">
        <v>573</v>
      </c>
      <c r="I14" s="13" t="str">
        <f>"3520,0"</f>
        <v>3520,0</v>
      </c>
      <c r="J14" s="15" t="str">
        <f>"39,9545"</f>
        <v>39,9545</v>
      </c>
      <c r="K14" s="13" t="s">
        <v>18</v>
      </c>
    </row>
    <row r="15" spans="1:11" ht="12.75">
      <c r="A15" s="37" t="s">
        <v>629</v>
      </c>
      <c r="B15" s="37" t="s">
        <v>565</v>
      </c>
      <c r="C15" s="16" t="s">
        <v>566</v>
      </c>
      <c r="D15" s="16" t="str">
        <f t="shared" si="0"/>
        <v>1,0000</v>
      </c>
      <c r="E15" s="16" t="s">
        <v>15</v>
      </c>
      <c r="F15" s="16" t="s">
        <v>23</v>
      </c>
      <c r="G15" s="18" t="s">
        <v>31</v>
      </c>
      <c r="H15" s="31" t="s">
        <v>567</v>
      </c>
      <c r="I15" s="16" t="str">
        <f>"2805,0"</f>
        <v>2805,0</v>
      </c>
      <c r="J15" s="18" t="str">
        <f>"31,5878"</f>
        <v>31,5878</v>
      </c>
      <c r="K15" s="16" t="s">
        <v>18</v>
      </c>
    </row>
    <row r="18" spans="5:6" ht="15">
      <c r="E18" s="19" t="s">
        <v>90</v>
      </c>
      <c r="F18" s="32" t="s">
        <v>588</v>
      </c>
    </row>
    <row r="19" spans="5:6" ht="15">
      <c r="E19" s="19" t="s">
        <v>91</v>
      </c>
      <c r="F19" s="32" t="s">
        <v>589</v>
      </c>
    </row>
    <row r="20" spans="5:6" ht="15">
      <c r="E20" s="19" t="s">
        <v>92</v>
      </c>
      <c r="F20" s="32" t="s">
        <v>590</v>
      </c>
    </row>
    <row r="21" spans="5:6" ht="15">
      <c r="E21" s="19" t="s">
        <v>93</v>
      </c>
      <c r="F21" s="32" t="s">
        <v>591</v>
      </c>
    </row>
    <row r="22" spans="5:6" ht="15">
      <c r="E22" s="19" t="s">
        <v>93</v>
      </c>
      <c r="F22" s="32" t="s">
        <v>603</v>
      </c>
    </row>
    <row r="23" ht="15">
      <c r="E23" s="19"/>
    </row>
    <row r="24" ht="15">
      <c r="E24" s="19"/>
    </row>
    <row r="26" spans="1:2" ht="18">
      <c r="A26" s="20" t="s">
        <v>94</v>
      </c>
      <c r="B26" s="20"/>
    </row>
    <row r="27" spans="1:2" ht="15">
      <c r="A27" s="21" t="s">
        <v>102</v>
      </c>
      <c r="B27" s="21"/>
    </row>
    <row r="28" spans="1:2" ht="14.25">
      <c r="A28" s="22"/>
      <c r="B28" s="23" t="s">
        <v>108</v>
      </c>
    </row>
    <row r="29" spans="1:5" ht="15">
      <c r="A29" s="24" t="s">
        <v>96</v>
      </c>
      <c r="B29" s="24" t="s">
        <v>97</v>
      </c>
      <c r="C29" s="24" t="s">
        <v>98</v>
      </c>
      <c r="D29" s="24" t="s">
        <v>99</v>
      </c>
      <c r="E29" s="24" t="s">
        <v>545</v>
      </c>
    </row>
    <row r="30" spans="1:5" ht="12.75">
      <c r="A30" s="34" t="s">
        <v>631</v>
      </c>
      <c r="B30" s="4" t="s">
        <v>108</v>
      </c>
      <c r="C30" s="32" t="s">
        <v>630</v>
      </c>
      <c r="D30" s="4" t="s">
        <v>574</v>
      </c>
      <c r="E30" s="25" t="s">
        <v>575</v>
      </c>
    </row>
  </sheetData>
  <sheetProtection/>
  <mergeCells count="13">
    <mergeCell ref="A12:J12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E19" sqref="E19:F23"/>
    </sheetView>
  </sheetViews>
  <sheetFormatPr defaultColWidth="9.1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0.875" style="4" bestFit="1" customWidth="1"/>
    <col min="7" max="7" width="4.625" style="3" bestFit="1" customWidth="1"/>
    <col min="8" max="8" width="10.375" style="28" bestFit="1" customWidth="1"/>
    <col min="9" max="9" width="8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8" t="s">
        <v>550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s="2" customFormat="1" ht="61.5" customHeight="1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s="1" customFormat="1" ht="12.75" customHeight="1">
      <c r="A3" s="64" t="s">
        <v>0</v>
      </c>
      <c r="B3" s="66" t="s">
        <v>5</v>
      </c>
      <c r="C3" s="66" t="s">
        <v>6</v>
      </c>
      <c r="D3" s="53" t="s">
        <v>540</v>
      </c>
      <c r="E3" s="53" t="s">
        <v>3</v>
      </c>
      <c r="F3" s="53" t="s">
        <v>7</v>
      </c>
      <c r="G3" s="53" t="s">
        <v>531</v>
      </c>
      <c r="H3" s="53"/>
      <c r="I3" s="53" t="s">
        <v>534</v>
      </c>
      <c r="J3" s="53" t="s">
        <v>2</v>
      </c>
      <c r="K3" s="55" t="s">
        <v>1</v>
      </c>
    </row>
    <row r="4" spans="1:11" s="1" customFormat="1" ht="21" customHeight="1" thickBot="1">
      <c r="A4" s="65"/>
      <c r="B4" s="54"/>
      <c r="C4" s="54"/>
      <c r="D4" s="54"/>
      <c r="E4" s="54"/>
      <c r="F4" s="54"/>
      <c r="G4" s="5" t="s">
        <v>532</v>
      </c>
      <c r="H4" s="26" t="s">
        <v>533</v>
      </c>
      <c r="I4" s="54"/>
      <c r="J4" s="54"/>
      <c r="K4" s="56"/>
    </row>
    <row r="5" spans="1:10" ht="15">
      <c r="A5" s="57" t="s">
        <v>608</v>
      </c>
      <c r="B5" s="57"/>
      <c r="C5" s="57"/>
      <c r="D5" s="57"/>
      <c r="E5" s="57"/>
      <c r="F5" s="57"/>
      <c r="G5" s="57"/>
      <c r="H5" s="57"/>
      <c r="I5" s="57"/>
      <c r="J5" s="57"/>
    </row>
    <row r="6" spans="1:11" ht="12.75">
      <c r="A6" s="6" t="s">
        <v>551</v>
      </c>
      <c r="B6" s="6" t="s">
        <v>552</v>
      </c>
      <c r="C6" s="6" t="s">
        <v>553</v>
      </c>
      <c r="D6" s="6" t="str">
        <f>"1,0000"</f>
        <v>1,0000</v>
      </c>
      <c r="E6" s="6" t="s">
        <v>15</v>
      </c>
      <c r="F6" s="6" t="s">
        <v>23</v>
      </c>
      <c r="G6" s="8" t="s">
        <v>179</v>
      </c>
      <c r="H6" s="27" t="s">
        <v>554</v>
      </c>
      <c r="I6" s="6" t="str">
        <f>"1120,0"</f>
        <v>1120,0</v>
      </c>
      <c r="J6" s="8" t="str">
        <f>"20,3821"</f>
        <v>20,3821</v>
      </c>
      <c r="K6" s="6" t="s">
        <v>18</v>
      </c>
    </row>
    <row r="8" spans="5:6" ht="15">
      <c r="E8" s="19" t="s">
        <v>90</v>
      </c>
      <c r="F8" s="32" t="s">
        <v>588</v>
      </c>
    </row>
    <row r="9" spans="5:6" ht="15">
      <c r="E9" s="19" t="s">
        <v>91</v>
      </c>
      <c r="F9" s="32" t="s">
        <v>589</v>
      </c>
    </row>
    <row r="10" spans="5:6" ht="15">
      <c r="E10" s="19" t="s">
        <v>92</v>
      </c>
      <c r="F10" s="32" t="s">
        <v>590</v>
      </c>
    </row>
    <row r="11" spans="5:6" ht="15">
      <c r="E11" s="19" t="s">
        <v>93</v>
      </c>
      <c r="F11" s="32" t="s">
        <v>591</v>
      </c>
    </row>
    <row r="12" spans="5:6" ht="15">
      <c r="E12" s="19" t="s">
        <v>93</v>
      </c>
      <c r="F12" s="32" t="s">
        <v>603</v>
      </c>
    </row>
    <row r="13" ht="15">
      <c r="E13" s="19"/>
    </row>
    <row r="14" ht="15">
      <c r="E14" s="19"/>
    </row>
    <row r="16" spans="2:11" ht="12.75">
      <c r="B16" s="3"/>
      <c r="C16" s="28"/>
      <c r="E16" s="3"/>
      <c r="H16" s="3"/>
      <c r="I16" s="3"/>
      <c r="K16" s="3"/>
    </row>
    <row r="17" spans="2:11" ht="12.75">
      <c r="B17" s="3"/>
      <c r="C17" s="28"/>
      <c r="E17" s="3"/>
      <c r="H17" s="3"/>
      <c r="I17" s="3"/>
      <c r="K17" s="3"/>
    </row>
    <row r="18" spans="2:11" ht="12.75">
      <c r="B18" s="3"/>
      <c r="C18" s="28"/>
      <c r="E18" s="3"/>
      <c r="H18" s="3"/>
      <c r="I18" s="3"/>
      <c r="K18" s="3"/>
    </row>
    <row r="19" spans="2:11" ht="12.75">
      <c r="B19" s="3"/>
      <c r="C19" s="28"/>
      <c r="E19" s="3"/>
      <c r="H19" s="3"/>
      <c r="I19" s="3"/>
      <c r="K19" s="3"/>
    </row>
    <row r="20" spans="2:11" ht="12.75">
      <c r="B20" s="3"/>
      <c r="C20" s="28"/>
      <c r="E20" s="3"/>
      <c r="H20" s="3"/>
      <c r="I20" s="3"/>
      <c r="K20" s="3"/>
    </row>
    <row r="21" spans="2:11" ht="12.75">
      <c r="B21" s="3"/>
      <c r="C21" s="28"/>
      <c r="E21" s="3"/>
      <c r="H21" s="3"/>
      <c r="I21" s="3"/>
      <c r="K21" s="3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E19" sqref="E19:F23"/>
    </sheetView>
  </sheetViews>
  <sheetFormatPr defaultColWidth="9.125" defaultRowHeight="12.75"/>
  <cols>
    <col min="1" max="1" width="26.00390625" style="4" bestFit="1" customWidth="1"/>
    <col min="2" max="2" width="28.375" style="4" bestFit="1" customWidth="1"/>
    <col min="3" max="4" width="10.625" style="4" bestFit="1" customWidth="1"/>
    <col min="5" max="5" width="22.75390625" style="4" bestFit="1" customWidth="1"/>
    <col min="6" max="6" width="20.875" style="4" bestFit="1" customWidth="1"/>
    <col min="7" max="7" width="5.625" style="3" bestFit="1" customWidth="1"/>
    <col min="8" max="8" width="10.375" style="28" bestFit="1" customWidth="1"/>
    <col min="9" max="9" width="8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8" t="s">
        <v>546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s="2" customFormat="1" ht="61.5" customHeight="1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s="1" customFormat="1" ht="12.75" customHeight="1">
      <c r="A3" s="64" t="s">
        <v>0</v>
      </c>
      <c r="B3" s="66" t="s">
        <v>5</v>
      </c>
      <c r="C3" s="66" t="s">
        <v>6</v>
      </c>
      <c r="D3" s="53" t="s">
        <v>540</v>
      </c>
      <c r="E3" s="53" t="s">
        <v>3</v>
      </c>
      <c r="F3" s="53" t="s">
        <v>7</v>
      </c>
      <c r="G3" s="53" t="s">
        <v>531</v>
      </c>
      <c r="H3" s="53"/>
      <c r="I3" s="53" t="s">
        <v>534</v>
      </c>
      <c r="J3" s="53" t="s">
        <v>2</v>
      </c>
      <c r="K3" s="55" t="s">
        <v>1</v>
      </c>
    </row>
    <row r="4" spans="1:11" s="1" customFormat="1" ht="21" customHeight="1" thickBot="1">
      <c r="A4" s="65"/>
      <c r="B4" s="54"/>
      <c r="C4" s="54"/>
      <c r="D4" s="54"/>
      <c r="E4" s="54"/>
      <c r="F4" s="54"/>
      <c r="G4" s="5" t="s">
        <v>532</v>
      </c>
      <c r="H4" s="26" t="s">
        <v>533</v>
      </c>
      <c r="I4" s="54"/>
      <c r="J4" s="54"/>
      <c r="K4" s="56"/>
    </row>
    <row r="5" spans="1:10" ht="15">
      <c r="A5" s="57" t="s">
        <v>593</v>
      </c>
      <c r="B5" s="57"/>
      <c r="C5" s="57"/>
      <c r="D5" s="57"/>
      <c r="E5" s="57"/>
      <c r="F5" s="57"/>
      <c r="G5" s="57"/>
      <c r="H5" s="57"/>
      <c r="I5" s="57"/>
      <c r="J5" s="57"/>
    </row>
    <row r="6" spans="1:11" ht="12.75">
      <c r="A6" s="6" t="s">
        <v>547</v>
      </c>
      <c r="B6" s="6" t="s">
        <v>548</v>
      </c>
      <c r="C6" s="6" t="s">
        <v>270</v>
      </c>
      <c r="D6" s="6" t="str">
        <f>"1,0000"</f>
        <v>1,0000</v>
      </c>
      <c r="E6" s="6" t="s">
        <v>15</v>
      </c>
      <c r="F6" s="6" t="s">
        <v>23</v>
      </c>
      <c r="G6" s="8" t="s">
        <v>230</v>
      </c>
      <c r="H6" s="27" t="s">
        <v>549</v>
      </c>
      <c r="I6" s="6" t="str">
        <f>"1700,0"</f>
        <v>1700,0</v>
      </c>
      <c r="J6" s="8" t="str">
        <f>"20,1183"</f>
        <v>20,1183</v>
      </c>
      <c r="K6" s="6" t="s">
        <v>18</v>
      </c>
    </row>
    <row r="8" spans="5:6" ht="15">
      <c r="E8" s="19" t="s">
        <v>90</v>
      </c>
      <c r="F8" s="32" t="s">
        <v>588</v>
      </c>
    </row>
    <row r="9" spans="5:6" ht="15">
      <c r="E9" s="19" t="s">
        <v>91</v>
      </c>
      <c r="F9" s="32" t="s">
        <v>589</v>
      </c>
    </row>
    <row r="10" spans="5:6" ht="15">
      <c r="E10" s="19" t="s">
        <v>92</v>
      </c>
      <c r="F10" s="32" t="s">
        <v>590</v>
      </c>
    </row>
    <row r="11" spans="5:6" ht="15">
      <c r="E11" s="19" t="s">
        <v>93</v>
      </c>
      <c r="F11" s="32" t="s">
        <v>591</v>
      </c>
    </row>
    <row r="12" spans="5:6" ht="15">
      <c r="E12" s="19" t="s">
        <v>93</v>
      </c>
      <c r="F12" s="32" t="s">
        <v>603</v>
      </c>
    </row>
    <row r="13" ht="15">
      <c r="E13" s="19"/>
    </row>
    <row r="14" ht="15">
      <c r="E14" s="19"/>
    </row>
    <row r="16" spans="2:11" ht="12.75">
      <c r="B16" s="3"/>
      <c r="C16" s="28"/>
      <c r="E16" s="3"/>
      <c r="H16" s="3"/>
      <c r="I16" s="3"/>
      <c r="K16" s="3"/>
    </row>
    <row r="17" spans="2:11" ht="12.75">
      <c r="B17" s="3"/>
      <c r="C17" s="28"/>
      <c r="E17" s="3"/>
      <c r="H17" s="3"/>
      <c r="I17" s="3"/>
      <c r="K17" s="3"/>
    </row>
    <row r="18" spans="2:11" ht="12.75">
      <c r="B18" s="3"/>
      <c r="C18" s="28"/>
      <c r="E18" s="3"/>
      <c r="H18" s="3"/>
      <c r="I18" s="3"/>
      <c r="K18" s="3"/>
    </row>
    <row r="19" spans="2:11" ht="12.75">
      <c r="B19" s="3"/>
      <c r="C19" s="28"/>
      <c r="E19" s="3"/>
      <c r="H19" s="3"/>
      <c r="I19" s="3"/>
      <c r="K19" s="3"/>
    </row>
    <row r="20" spans="2:11" ht="12.75">
      <c r="B20" s="3"/>
      <c r="C20" s="28"/>
      <c r="E20" s="3"/>
      <c r="H20" s="3"/>
      <c r="I20" s="3"/>
      <c r="K20" s="3"/>
    </row>
    <row r="21" spans="2:11" ht="12.75">
      <c r="B21" s="3"/>
      <c r="C21" s="28"/>
      <c r="E21" s="3"/>
      <c r="H21" s="3"/>
      <c r="I21" s="3"/>
      <c r="K21" s="3"/>
    </row>
    <row r="22" spans="2:11" ht="12.75">
      <c r="B22" s="3"/>
      <c r="C22" s="28"/>
      <c r="E22" s="3"/>
      <c r="H22" s="3"/>
      <c r="I22" s="3"/>
      <c r="K22" s="3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2019-05-07T04:09:56Z</dcterms:modified>
  <cp:category/>
  <cp:version/>
  <cp:contentType/>
  <cp:contentStatus/>
</cp:coreProperties>
</file>